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45" activeTab="0"/>
  </bookViews>
  <sheets>
    <sheet name="форма 2п исправл" sheetId="1" r:id="rId1"/>
  </sheets>
  <definedNames>
    <definedName name="_xlnm.Print_Titles" localSheetId="0">'форма 2п исправл'!$7:$9</definedName>
  </definedNames>
  <calcPr fullCalcOnLoad="1"/>
</workbook>
</file>

<file path=xl/sharedStrings.xml><?xml version="1.0" encoding="utf-8"?>
<sst xmlns="http://schemas.openxmlformats.org/spreadsheetml/2006/main" count="472" uniqueCount="236">
  <si>
    <t>Потребление электроэнергии</t>
  </si>
  <si>
    <t>млн.кВт.ч.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</si>
  <si>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</si>
  <si>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</si>
  <si>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</si>
  <si>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</si>
  <si>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</si>
  <si>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</si>
  <si>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</si>
  <si>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</si>
  <si>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</si>
  <si>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</si>
  <si>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</si>
  <si>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</si>
  <si>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</si>
  <si>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</si>
  <si>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</si>
  <si>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 том числе:</t>
  </si>
  <si>
    <t>тыс. тонн</t>
  </si>
  <si>
    <t>Скот и птица на убой (в живом весе)</t>
  </si>
  <si>
    <t>Молоко</t>
  </si>
  <si>
    <t>Яйца</t>
  </si>
  <si>
    <t>млн.шт.</t>
  </si>
  <si>
    <t>Мясо и субпродукты пищевые домашней птицы</t>
  </si>
  <si>
    <t>тыс. дкл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</si>
  <si>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</si>
  <si>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</si>
  <si>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</si>
  <si>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</si>
  <si>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</si>
  <si>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</si>
  <si>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</si>
  <si>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</si>
  <si>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в том числе по отдельным видам экономической деятельности: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</si>
  <si>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</si>
  <si>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</si>
  <si>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</si>
  <si>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</si>
  <si>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</si>
  <si>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</si>
  <si>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без субъектов малого предпринимательства; млн. руб.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</si>
  <si>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</si>
  <si>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</si>
  <si>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</si>
  <si>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</si>
  <si>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</si>
  <si>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</si>
  <si>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</si>
  <si>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</si>
  <si>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</si>
  <si>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</si>
  <si>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</si>
  <si>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</si>
  <si>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</si>
  <si>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</si>
  <si>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</si>
  <si>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</si>
  <si>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</si>
  <si>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</si>
  <si>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Денежные доходы населения</t>
  </si>
  <si>
    <t>доходы от предпринимательской деятельности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</si>
  <si>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</si>
  <si>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</si>
  <si>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</si>
  <si>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</si>
  <si>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</si>
  <si>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</si>
  <si>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</si>
  <si>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</si>
  <si>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</si>
  <si>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</si>
  <si>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</si>
  <si>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</si>
  <si>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</si>
  <si>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</si>
  <si>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</si>
  <si>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</si>
  <si>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</si>
  <si>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</si>
  <si>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</si>
  <si>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Фонд начисленной заработной платы всех работников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</si>
  <si>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</si>
  <si>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</si>
  <si>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</si>
  <si>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</si>
  <si>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</si>
  <si>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</si>
  <si>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</si>
  <si>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</si>
  <si>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Количество российских посетителей из других регионов (резидентов)</t>
  </si>
  <si>
    <t>Среднесписочная численность работников организаций (без внешних совместителей)</t>
  </si>
  <si>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</si>
  <si>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</si>
  <si>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</si>
  <si>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</si>
  <si>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</si>
  <si>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</si>
  <si>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</si>
  <si>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</si>
  <si>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</si>
  <si>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</si>
  <si>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</si>
  <si>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</si>
  <si>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</si>
  <si>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</si>
  <si>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</si>
  <si>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 xml:space="preserve">Индекс промышленного производства 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</si>
  <si>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</si>
  <si>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Индекс производства - РАЗДЕЛ B: Добыча полезных ископаемых</t>
  </si>
  <si>
    <t>Индекс производства - РАЗДЕЛ C: Обрабатывающие производства</t>
  </si>
  <si>
    <t>Индекс производства - 10 Производство пищевых продуктов</t>
  </si>
  <si>
    <t>Индекс производства - 11 Производство напитков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</si>
  <si>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</si>
  <si>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Индекс производства - 17 Производство бумаги и бумажных изделий </t>
  </si>
  <si>
    <t>Индекс производства - 18 Деятельность полиграфическая и копирование носителей информации</t>
  </si>
  <si>
    <t>Индекс производства - 19 Производство кокса и нефтепродуктов</t>
  </si>
  <si>
    <t>Индекс производства - 27 Производство электрического оборудования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</si>
  <si>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</si>
  <si>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базовый</t>
  </si>
  <si>
    <t>целевой</t>
  </si>
  <si>
    <t>1 вариант</t>
  </si>
  <si>
    <t>2 вариант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</si>
  <si>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</si>
  <si>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</si>
  <si>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G: Торговля оптовая и розничная; ремонт автотранспортных средств и мотоциклов</t>
  </si>
  <si>
    <t>Раздел L: Деятельность по операциям с недвижимым имуществом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</si>
  <si>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</si>
  <si>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</si>
  <si>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</si>
  <si>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</si>
  <si>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</si>
  <si>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Индекс производства - РАЗДЕЛ D: Обеспечение электрической энергией, газом и паром; кондиционирование воздуха</t>
  </si>
  <si>
    <t>Раздел H: Транспортировка и хранение</t>
  </si>
  <si>
    <t>Картофель</t>
  </si>
  <si>
    <t>в том числе семян подсолнечника</t>
  </si>
  <si>
    <t>Масло подсолнечное и его фракции нерафинированные</t>
  </si>
  <si>
    <t>Культуры зерновые</t>
  </si>
  <si>
    <t>Семена и плоды масличных культур</t>
  </si>
  <si>
    <t>Пиво, кроме отходов пивоварения (включая напитки, изготовляемые на основе пива (пиваные напитки)</t>
  </si>
  <si>
    <t>Сахарная свекла</t>
  </si>
  <si>
    <t>Овощи</t>
  </si>
  <si>
    <t xml:space="preserve">      Дефицит(-),профицит(+) консолидированного бюджета</t>
  </si>
  <si>
    <t>Реальные располагаемые денежные доходы населения</t>
  </si>
  <si>
    <t>Прибыль прибыльных организаций</t>
  </si>
  <si>
    <r>
      <rPr>
        <i/>
        <sz val="14"/>
        <rFont val="Times New Roman"/>
        <family val="1"/>
      </rPr>
      <t>Справочно:</t>
    </r>
    <r>
      <rPr>
        <sz val="14"/>
        <rFont val="Times New Roman"/>
        <family val="1"/>
      </rPr>
      <t xml:space="preserve"> сальдо прибылей и убытков</t>
    </r>
  </si>
  <si>
    <t>Амортизация основных фондов, начисленная за год</t>
  </si>
  <si>
    <t>Прочие налоговые доходы</t>
  </si>
  <si>
    <t>Неналоговые доходы</t>
  </si>
  <si>
    <t>Прочие доходы</t>
  </si>
  <si>
    <t>Итого доходов</t>
  </si>
  <si>
    <t>Средства, получаемые от федерального и областного уровней власти</t>
  </si>
  <si>
    <t>Всего доходов</t>
  </si>
  <si>
    <t xml:space="preserve">Налог на прибыль организаций </t>
  </si>
  <si>
    <t>Налог на доходы физических лиц</t>
  </si>
  <si>
    <t>Акцизы</t>
  </si>
  <si>
    <t>Налоги на имущество</t>
  </si>
  <si>
    <t>Расходы организаций за счет прибыли, остающейся в распоряжении</t>
  </si>
  <si>
    <t>Общегосударственные вопросы</t>
  </si>
  <si>
    <t>Национальная оборона</t>
  </si>
  <si>
    <t>Жилищно-коммунальное хозяйство</t>
  </si>
  <si>
    <t>Культура, кинематография</t>
  </si>
  <si>
    <t>Всего расходов</t>
  </si>
  <si>
    <t>Национальная безопасность и правоохранительная деятельность</t>
  </si>
  <si>
    <t>Национальная экономика</t>
  </si>
  <si>
    <t>сельское, лесное хозяйство, охота, рыболовство и рыбоводство (Раздел А; классы: 01+02+03)</t>
  </si>
  <si>
    <t>добыча полезных ископаемых  (Раздел В; классы: 05+06+07+08+09)</t>
  </si>
  <si>
    <t>обрабатывающие производства  (Раздел С; классы: с 10 по 33 включительно)</t>
  </si>
  <si>
    <t>обеспечение электрической энергией, газом и паром; кондиционирование воздуха  (Раздел D; класс 35)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</si>
  <si>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</si>
  <si>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строительство  (Раздел F; классы:  41+42+43)</t>
  </si>
  <si>
    <t>торговля оптовая и розничная; ремонт автотранспортных средств и мотоциклов  (Раздел G; классы: 45+46+47)</t>
  </si>
  <si>
    <t>транспортировка и хранение  (Раздел Н; классы: 49+50+51+52+53)</t>
  </si>
  <si>
    <t>деятельность в области информации и связи  (Раздел J; классы: с 58 по 63 включительно)</t>
  </si>
  <si>
    <t>деятельность по операциям с недвижимым имуществом (Раздел L; класс 68)</t>
  </si>
  <si>
    <t>ПРОЧИЕ</t>
  </si>
  <si>
    <t>Среднесписочная численность работников малых предприятий, включая микропредприятия (без внешних совместителей)</t>
  </si>
  <si>
    <t>Оборот малых предприятий, включая микропредприятия</t>
  </si>
  <si>
    <t>Численность населения (в среднегодовом исчислении)</t>
  </si>
  <si>
    <t>Миграционный прирост (убыль)</t>
  </si>
  <si>
    <t xml:space="preserve">Объем работ, выполненных по виду экономической деятельности "Строительство" </t>
  </si>
  <si>
    <t xml:space="preserve">Индекс производства по виду деятельности "Строительство" </t>
  </si>
  <si>
    <t xml:space="preserve">Индекс-дефлятор по виду деятельности "Строительство" </t>
  </si>
  <si>
    <t>оплата труда, включая скрытую заработную плату</t>
  </si>
  <si>
    <t>другие доходы (от продажи валюты, денежные переводы и пр.)</t>
  </si>
  <si>
    <t>Среднемесячная номинальная начисленная заработная плата работников организаций</t>
  </si>
  <si>
    <t>руб/мес</t>
  </si>
  <si>
    <t>Темп среднемесячной номинальной начисленной заработной платы работников организаций</t>
  </si>
  <si>
    <t>Реальная заработная плата работников организаций</t>
  </si>
  <si>
    <t>Количество малых предприятий, включая микропредприятия (на конец года)</t>
  </si>
  <si>
    <t>Количество индивидуальный предпринимателей (ИП)</t>
  </si>
  <si>
    <t>Численность работников сферы ИП (включая самих ИП)</t>
  </si>
  <si>
    <t>Ликвидация основных фондов по полной учетной стоимости</t>
  </si>
  <si>
    <t>Стоимость основных фондов по полной учетной стоимости на конец года</t>
  </si>
  <si>
    <t>Индекс потребительских цен в среднем за год</t>
  </si>
  <si>
    <t>% г/г</t>
  </si>
  <si>
    <t>Темп роста оборота розничной торговли</t>
  </si>
  <si>
    <t>Темп роста объема платных услуг населению</t>
  </si>
  <si>
    <t>2. Промышленное производство</t>
  </si>
  <si>
    <t>Объем отгруженной продукции (работ, услуг)</t>
  </si>
  <si>
    <t>млн. руб</t>
  </si>
  <si>
    <t>Индекс тарифов на электроэнергию, отпущенную различным категориям потребителей</t>
  </si>
  <si>
    <t>3. Сельское хозяйство</t>
  </si>
  <si>
    <t xml:space="preserve">3.1. Производство важнейших видов продукции в натуральном выражении </t>
  </si>
  <si>
    <t>5. Торговля и услуги населению</t>
  </si>
  <si>
    <t>6. Малое и среднее предпринимательство, включая микропредприятия</t>
  </si>
  <si>
    <t>7. Инвестиции</t>
  </si>
  <si>
    <t xml:space="preserve">8. Финансы </t>
  </si>
  <si>
    <t>9. Денежные доходы и расходы населения</t>
  </si>
  <si>
    <t>10. Труд и занятость</t>
  </si>
  <si>
    <t>11. Туризм</t>
  </si>
  <si>
    <t>Численность рабочей силы</t>
  </si>
  <si>
    <t>Численность занятых в экономике</t>
  </si>
  <si>
    <t>тыс. чел</t>
  </si>
  <si>
    <t>Уровень безработицы</t>
  </si>
  <si>
    <t>% к раб силе</t>
  </si>
  <si>
    <t>Общая численность безработных граждан</t>
  </si>
  <si>
    <t>Оборот общественного питания</t>
  </si>
  <si>
    <t>темп роста оборота общественного питания</t>
  </si>
  <si>
    <t>индекс постребительских цен на продукцию общественного питания за период с начала года</t>
  </si>
  <si>
    <t>Всего численность работников, работающих в СМП</t>
  </si>
  <si>
    <t>в 9,8р</t>
  </si>
  <si>
    <t>Темп роста ввода в действие жилых домов</t>
  </si>
  <si>
    <t>в 46,8 р</t>
  </si>
  <si>
    <t>в 14р</t>
  </si>
  <si>
    <t>в 23,8р.</t>
  </si>
  <si>
    <t>Всего субъектов СМП</t>
  </si>
  <si>
    <t>Прогноз социально-экономического развития Пономаревского района Оренбургской области на 2019-2024 годы</t>
  </si>
  <si>
    <t>тыс. рублей</t>
  </si>
  <si>
    <t>Налоги на совокупный доход</t>
  </si>
  <si>
    <t>16.72</t>
  </si>
  <si>
    <t>16.99</t>
  </si>
  <si>
    <t>Расходы местного</t>
  </si>
  <si>
    <t>Доходы местного бюджета муниципального образования</t>
  </si>
  <si>
    <t>Приложение № 1 к постановлению № 378/1-п  от 14.11.2018 года</t>
  </si>
  <si>
    <t>Социальная политика</t>
  </si>
  <si>
    <t>Статистические данные и показатели, характеризующие состояние и динамику развития экономической, социальной и иных сфер жизнедеятельности, регулирование которых отнесено к полномочиям органа местного самоуправления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</si>
</sst>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#,##0.000"/>
    <numFmt numFmtId="183" formatCode="#,##0.0"/>
  </numFmts>
  <fonts count="55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sz val="14"/>
      <color indexed="8"/>
      <name val="Tahom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9" fontId="6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6" fillId="0" borderId="10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82" fontId="11" fillId="0" borderId="10" xfId="0" applyNumberFormat="1" applyFont="1" applyFill="1" applyBorder="1" applyAlignment="1">
      <alignment vertical="center"/>
    </xf>
    <xf numFmtId="182" fontId="11" fillId="0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 shrinkToFit="1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10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2" fontId="13" fillId="0" borderId="10" xfId="53" applyNumberFormat="1" applyFont="1" applyBorder="1" applyAlignment="1">
      <alignment horizontal="center"/>
      <protection/>
    </xf>
    <xf numFmtId="183" fontId="6" fillId="0" borderId="10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6" fillId="0" borderId="14" xfId="0" applyFont="1" applyFill="1" applyBorder="1" applyAlignment="1">
      <alignment horizontal="left" vertical="center" wrapText="1" shrinkToFit="1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vertical="center" wrapText="1" shrinkToFit="1"/>
      <protection/>
    </xf>
    <xf numFmtId="0" fontId="13" fillId="0" borderId="10" xfId="0" applyFont="1" applyBorder="1" applyAlignment="1">
      <alignment horizontal="center" wrapText="1"/>
    </xf>
    <xf numFmtId="0" fontId="9" fillId="0" borderId="14" xfId="0" applyFont="1" applyFill="1" applyBorder="1" applyAlignment="1" applyProtection="1">
      <alignment vertical="center" wrapText="1" shrinkToFi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vertical="center" wrapText="1" shrinkToFit="1"/>
      <protection/>
    </xf>
    <xf numFmtId="2" fontId="13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 shrinkToFit="1"/>
      <protection/>
    </xf>
    <xf numFmtId="0" fontId="2" fillId="0" borderId="15" xfId="0" applyFont="1" applyFill="1" applyBorder="1" applyAlignment="1" applyProtection="1">
      <alignment horizontal="left" vertical="center" wrapText="1" shrinkToFi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3"/>
  <sheetViews>
    <sheetView tabSelected="1" zoomScale="57" zoomScaleNormal="57" zoomScalePageLayoutView="0" workbookViewId="0" topLeftCell="A1">
      <pane ySplit="2" topLeftCell="A3" activePane="bottomLeft" state="frozen"/>
      <selection pane="topLeft" activeCell="C1" sqref="C1"/>
      <selection pane="bottomLeft" activeCell="J13" sqref="J13"/>
    </sheetView>
  </sheetViews>
  <sheetFormatPr defaultColWidth="8.875" defaultRowHeight="12.75"/>
  <cols>
    <col min="1" max="1" width="3.125" style="14" customWidth="1"/>
    <col min="2" max="2" width="2.25390625" style="14" customWidth="1"/>
    <col min="3" max="3" width="50.125" style="14" customWidth="1"/>
    <col min="4" max="4" width="35.125" style="14" customWidth="1"/>
    <col min="5" max="14" width="13.75390625" style="14" customWidth="1"/>
    <col min="15" max="15" width="14.375" style="14" customWidth="1"/>
    <col min="16" max="19" width="13.75390625" style="14" customWidth="1"/>
    <col min="20" max="16384" width="8.875" style="14" customWidth="1"/>
  </cols>
  <sheetData>
    <row r="1" ht="10.5" customHeight="1"/>
    <row r="2" spans="3:16" ht="20.25" hidden="1"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3:19" ht="38.25" customHeight="1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11" t="s">
        <v>233</v>
      </c>
      <c r="O3" s="111"/>
      <c r="P3" s="111"/>
      <c r="Q3" s="111"/>
      <c r="R3" s="111"/>
      <c r="S3" s="111"/>
    </row>
    <row r="4" spans="3:19" ht="67.5" customHeight="1">
      <c r="C4" s="79"/>
      <c r="D4" s="107" t="s">
        <v>235</v>
      </c>
      <c r="E4" s="107"/>
      <c r="F4" s="107"/>
      <c r="G4" s="107"/>
      <c r="H4" s="107"/>
      <c r="I4" s="107"/>
      <c r="J4" s="107"/>
      <c r="K4" s="107"/>
      <c r="L4" s="107"/>
      <c r="M4" s="107"/>
      <c r="N4" s="111"/>
      <c r="O4" s="111"/>
      <c r="P4" s="111"/>
      <c r="Q4" s="111"/>
      <c r="R4" s="111"/>
      <c r="S4" s="111"/>
    </row>
    <row r="5" spans="3:19" ht="12.75">
      <c r="C5" s="107" t="s">
        <v>226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3:19" ht="12.75"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3:16" ht="20.25">
      <c r="C7" s="109"/>
      <c r="D7" s="110"/>
      <c r="E7" s="110"/>
      <c r="F7" s="110"/>
      <c r="G7" s="110"/>
      <c r="H7" s="16"/>
      <c r="I7" s="16"/>
      <c r="J7" s="16"/>
      <c r="K7" s="16"/>
      <c r="L7" s="16"/>
      <c r="M7" s="16"/>
      <c r="N7" s="16"/>
      <c r="O7" s="16"/>
      <c r="P7" s="16"/>
    </row>
    <row r="8" ht="22.5" customHeight="1">
      <c r="C8" s="14" t="s">
        <v>71</v>
      </c>
    </row>
    <row r="9" spans="3:20" ht="18.75">
      <c r="C9" s="103" t="s">
        <v>91</v>
      </c>
      <c r="D9" s="103" t="s">
        <v>92</v>
      </c>
      <c r="E9" s="1" t="s">
        <v>93</v>
      </c>
      <c r="F9" s="2" t="s">
        <v>93</v>
      </c>
      <c r="G9" s="2" t="s">
        <v>94</v>
      </c>
      <c r="H9" s="98" t="s">
        <v>95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100"/>
      <c r="T9" s="20"/>
    </row>
    <row r="10" spans="3:20" ht="18.75">
      <c r="C10" s="104"/>
      <c r="D10" s="104"/>
      <c r="E10" s="103">
        <v>2016</v>
      </c>
      <c r="F10" s="103">
        <v>2017</v>
      </c>
      <c r="G10" s="103">
        <v>2018</v>
      </c>
      <c r="H10" s="106">
        <v>2019</v>
      </c>
      <c r="I10" s="106"/>
      <c r="J10" s="106">
        <v>2020</v>
      </c>
      <c r="K10" s="106"/>
      <c r="L10" s="94">
        <v>2021</v>
      </c>
      <c r="M10" s="94"/>
      <c r="N10" s="106">
        <v>2022</v>
      </c>
      <c r="O10" s="106"/>
      <c r="P10" s="94">
        <v>2023</v>
      </c>
      <c r="Q10" s="95"/>
      <c r="R10" s="96">
        <v>2024</v>
      </c>
      <c r="S10" s="97"/>
      <c r="T10" s="20"/>
    </row>
    <row r="11" spans="3:20" ht="18.75">
      <c r="C11" s="104"/>
      <c r="D11" s="104"/>
      <c r="E11" s="104"/>
      <c r="F11" s="104"/>
      <c r="G11" s="104"/>
      <c r="H11" s="1" t="s">
        <v>118</v>
      </c>
      <c r="I11" s="1" t="s">
        <v>119</v>
      </c>
      <c r="J11" s="1" t="s">
        <v>118</v>
      </c>
      <c r="K11" s="1" t="s">
        <v>119</v>
      </c>
      <c r="L11" s="1" t="s">
        <v>118</v>
      </c>
      <c r="M11" s="1" t="s">
        <v>119</v>
      </c>
      <c r="N11" s="1" t="s">
        <v>118</v>
      </c>
      <c r="O11" s="1" t="s">
        <v>119</v>
      </c>
      <c r="P11" s="1" t="s">
        <v>118</v>
      </c>
      <c r="Q11" s="1" t="s">
        <v>119</v>
      </c>
      <c r="R11" s="1" t="s">
        <v>118</v>
      </c>
      <c r="S11" s="17" t="s">
        <v>119</v>
      </c>
      <c r="T11" s="20"/>
    </row>
    <row r="12" spans="3:20" ht="18.75">
      <c r="C12" s="105"/>
      <c r="D12" s="105"/>
      <c r="E12" s="106"/>
      <c r="F12" s="105"/>
      <c r="G12" s="105"/>
      <c r="H12" s="1" t="s">
        <v>120</v>
      </c>
      <c r="I12" s="1" t="s">
        <v>121</v>
      </c>
      <c r="J12" s="1" t="s">
        <v>120</v>
      </c>
      <c r="K12" s="1" t="s">
        <v>121</v>
      </c>
      <c r="L12" s="1" t="s">
        <v>120</v>
      </c>
      <c r="M12" s="1" t="s">
        <v>121</v>
      </c>
      <c r="N12" s="1" t="s">
        <v>120</v>
      </c>
      <c r="O12" s="1" t="s">
        <v>121</v>
      </c>
      <c r="P12" s="1" t="s">
        <v>120</v>
      </c>
      <c r="Q12" s="1" t="s">
        <v>121</v>
      </c>
      <c r="R12" s="1" t="s">
        <v>120</v>
      </c>
      <c r="S12" s="17" t="s">
        <v>121</v>
      </c>
      <c r="T12" s="20"/>
    </row>
    <row r="13" spans="3:20" ht="18.75">
      <c r="C13" s="3" t="s">
        <v>96</v>
      </c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8"/>
      <c r="R13" s="18"/>
      <c r="S13" s="19"/>
      <c r="T13" s="20"/>
    </row>
    <row r="14" spans="3:20" ht="37.5">
      <c r="C14" s="6" t="s">
        <v>177</v>
      </c>
      <c r="D14" s="15" t="s">
        <v>97</v>
      </c>
      <c r="E14" s="4">
        <v>5.132</v>
      </c>
      <c r="F14" s="39">
        <v>5.157</v>
      </c>
      <c r="G14" s="39">
        <v>5.114</v>
      </c>
      <c r="H14" s="39">
        <v>5.118</v>
      </c>
      <c r="I14" s="39">
        <v>5.12</v>
      </c>
      <c r="J14" s="39">
        <v>5.122</v>
      </c>
      <c r="K14" s="39">
        <v>5.123</v>
      </c>
      <c r="L14" s="39">
        <v>5.127</v>
      </c>
      <c r="M14" s="39">
        <v>5.131</v>
      </c>
      <c r="N14" s="39">
        <v>5.133</v>
      </c>
      <c r="O14" s="39">
        <v>5.137</v>
      </c>
      <c r="P14" s="39">
        <v>5.142</v>
      </c>
      <c r="Q14" s="42">
        <v>5.146</v>
      </c>
      <c r="R14" s="42">
        <v>5.15</v>
      </c>
      <c r="S14" s="41">
        <v>5.155</v>
      </c>
      <c r="T14" s="20"/>
    </row>
    <row r="15" spans="3:20" ht="37.5">
      <c r="C15" s="6" t="s">
        <v>99</v>
      </c>
      <c r="D15" s="15" t="s">
        <v>100</v>
      </c>
      <c r="E15" s="4">
        <v>3.9</v>
      </c>
      <c r="F15" s="5">
        <v>3.5</v>
      </c>
      <c r="G15" s="5">
        <v>3.9</v>
      </c>
      <c r="H15" s="5">
        <v>3.94</v>
      </c>
      <c r="I15" s="5">
        <v>3.96</v>
      </c>
      <c r="J15" s="5">
        <v>3.98</v>
      </c>
      <c r="K15" s="5">
        <v>4.03</v>
      </c>
      <c r="L15" s="5">
        <v>4.07</v>
      </c>
      <c r="M15" s="5">
        <v>4.11</v>
      </c>
      <c r="N15" s="5">
        <v>4.13</v>
      </c>
      <c r="O15" s="5">
        <v>4.16</v>
      </c>
      <c r="P15" s="5">
        <v>4.21</v>
      </c>
      <c r="Q15" s="40">
        <v>4.25</v>
      </c>
      <c r="R15" s="40">
        <v>4.29</v>
      </c>
      <c r="S15" s="41">
        <v>4.34</v>
      </c>
      <c r="T15" s="20"/>
    </row>
    <row r="16" spans="3:20" ht="37.5">
      <c r="C16" s="6" t="s">
        <v>101</v>
      </c>
      <c r="D16" s="15" t="s">
        <v>102</v>
      </c>
      <c r="E16" s="4">
        <v>5.58</v>
      </c>
      <c r="F16" s="5">
        <v>6.23</v>
      </c>
      <c r="G16" s="5">
        <v>6.12</v>
      </c>
      <c r="H16" s="5">
        <v>6.14</v>
      </c>
      <c r="I16" s="5">
        <v>6.18</v>
      </c>
      <c r="J16" s="5">
        <v>6.12</v>
      </c>
      <c r="K16" s="5">
        <v>6.33</v>
      </c>
      <c r="L16" s="5">
        <v>6.39</v>
      </c>
      <c r="M16" s="5">
        <v>6.4</v>
      </c>
      <c r="N16" s="5">
        <v>6.42</v>
      </c>
      <c r="O16" s="5">
        <v>6.44</v>
      </c>
      <c r="P16" s="5">
        <v>6.44</v>
      </c>
      <c r="Q16" s="40">
        <v>6.4</v>
      </c>
      <c r="R16" s="40">
        <v>6.4</v>
      </c>
      <c r="S16" s="41">
        <v>6.2</v>
      </c>
      <c r="T16" s="20"/>
    </row>
    <row r="17" spans="3:20" ht="37.5">
      <c r="C17" s="6" t="s">
        <v>103</v>
      </c>
      <c r="D17" s="15" t="s">
        <v>104</v>
      </c>
      <c r="E17" s="4">
        <f>E16-E15</f>
        <v>1.6800000000000002</v>
      </c>
      <c r="F17" s="4">
        <f aca="true" t="shared" si="0" ref="F17:L17">F16-F15</f>
        <v>2.7300000000000004</v>
      </c>
      <c r="G17" s="4">
        <f t="shared" si="0"/>
        <v>2.22</v>
      </c>
      <c r="H17" s="4">
        <f t="shared" si="0"/>
        <v>2.1999999999999997</v>
      </c>
      <c r="I17" s="4">
        <f t="shared" si="0"/>
        <v>2.2199999999999998</v>
      </c>
      <c r="J17" s="4">
        <f t="shared" si="0"/>
        <v>2.14</v>
      </c>
      <c r="K17" s="4">
        <f t="shared" si="0"/>
        <v>2.3</v>
      </c>
      <c r="L17" s="4">
        <f t="shared" si="0"/>
        <v>2.3199999999999994</v>
      </c>
      <c r="M17" s="4">
        <f aca="true" t="shared" si="1" ref="M17:S17">M16-M15</f>
        <v>2.29</v>
      </c>
      <c r="N17" s="4">
        <f t="shared" si="1"/>
        <v>2.29</v>
      </c>
      <c r="O17" s="4">
        <f t="shared" si="1"/>
        <v>2.2800000000000002</v>
      </c>
      <c r="P17" s="4">
        <f t="shared" si="1"/>
        <v>2.2300000000000004</v>
      </c>
      <c r="Q17" s="4">
        <f t="shared" si="1"/>
        <v>2.1500000000000004</v>
      </c>
      <c r="R17" s="4">
        <f t="shared" si="1"/>
        <v>2.1100000000000003</v>
      </c>
      <c r="S17" s="4">
        <f t="shared" si="1"/>
        <v>1.8600000000000003</v>
      </c>
      <c r="T17" s="20"/>
    </row>
    <row r="18" spans="3:20" ht="18.75">
      <c r="C18" s="6" t="s">
        <v>178</v>
      </c>
      <c r="D18" s="15" t="s">
        <v>97</v>
      </c>
      <c r="E18" s="4">
        <v>-0.1</v>
      </c>
      <c r="F18" s="4">
        <v>-0.1</v>
      </c>
      <c r="G18" s="4">
        <v>-0.1</v>
      </c>
      <c r="H18" s="4">
        <v>-0.1</v>
      </c>
      <c r="I18" s="4">
        <v>-0.1</v>
      </c>
      <c r="J18" s="4">
        <v>-0.1</v>
      </c>
      <c r="K18" s="4">
        <v>-0.1</v>
      </c>
      <c r="L18" s="4">
        <v>-0.1</v>
      </c>
      <c r="M18" s="4">
        <v>-0.1</v>
      </c>
      <c r="N18" s="4">
        <v>-0.1</v>
      </c>
      <c r="O18" s="4">
        <v>-0.1</v>
      </c>
      <c r="P18" s="39">
        <v>0</v>
      </c>
      <c r="Q18" s="40">
        <v>0</v>
      </c>
      <c r="R18" s="40">
        <v>0</v>
      </c>
      <c r="S18" s="41">
        <v>0</v>
      </c>
      <c r="T18" s="20"/>
    </row>
    <row r="19" spans="3:20" ht="18.75">
      <c r="C19" s="3" t="s">
        <v>197</v>
      </c>
      <c r="D19" s="15"/>
      <c r="E19" s="4"/>
      <c r="F19" s="5"/>
      <c r="G19" s="5"/>
      <c r="H19" s="5"/>
      <c r="I19" s="5"/>
      <c r="J19" s="5"/>
      <c r="K19" s="5"/>
      <c r="L19" s="5"/>
      <c r="M19" s="5"/>
      <c r="N19" s="39"/>
      <c r="O19" s="39"/>
      <c r="P19" s="5"/>
      <c r="Q19" s="27"/>
      <c r="R19" s="27"/>
      <c r="S19" s="28"/>
      <c r="T19" s="20"/>
    </row>
    <row r="20" spans="3:20" ht="37.5">
      <c r="C20" s="6" t="s">
        <v>198</v>
      </c>
      <c r="D20" s="15" t="s">
        <v>199</v>
      </c>
      <c r="E20" s="4">
        <v>33.3</v>
      </c>
      <c r="F20" s="5">
        <v>28.34</v>
      </c>
      <c r="G20" s="5">
        <f>F20*F21/100</f>
        <v>24.769160000000003</v>
      </c>
      <c r="H20" s="5">
        <f>G20*G21/100</f>
        <v>24.71962168</v>
      </c>
      <c r="I20" s="5">
        <f aca="true" t="shared" si="2" ref="I20:S20">H20*H21/100</f>
        <v>24.79378054504</v>
      </c>
      <c r="J20" s="5">
        <f t="shared" si="2"/>
        <v>25.016924569945363</v>
      </c>
      <c r="K20" s="5">
        <f t="shared" si="2"/>
        <v>25.19204304193498</v>
      </c>
      <c r="L20" s="5">
        <f t="shared" si="2"/>
        <v>25.418771429312397</v>
      </c>
      <c r="M20" s="5">
        <f t="shared" si="2"/>
        <v>25.545865286458955</v>
      </c>
      <c r="N20" s="5">
        <f t="shared" si="2"/>
        <v>25.750232208750628</v>
      </c>
      <c r="O20" s="5">
        <f t="shared" si="2"/>
        <v>25.85323313758563</v>
      </c>
      <c r="P20" s="5">
        <f t="shared" si="2"/>
        <v>26.008352536411145</v>
      </c>
      <c r="Q20" s="5">
        <f t="shared" si="2"/>
        <v>26.138394299093203</v>
      </c>
      <c r="R20" s="5">
        <f t="shared" si="2"/>
        <v>26.373639847785043</v>
      </c>
      <c r="S20" s="5">
        <f t="shared" si="2"/>
        <v>26.690123525958466</v>
      </c>
      <c r="T20" s="20"/>
    </row>
    <row r="21" spans="3:20" ht="37.5">
      <c r="C21" s="6" t="s">
        <v>106</v>
      </c>
      <c r="D21" s="15" t="s">
        <v>26</v>
      </c>
      <c r="E21" s="4">
        <v>85.1</v>
      </c>
      <c r="F21" s="5">
        <v>87.4</v>
      </c>
      <c r="G21" s="5">
        <v>99.8</v>
      </c>
      <c r="H21" s="5">
        <v>100.3</v>
      </c>
      <c r="I21" s="5">
        <v>100.9</v>
      </c>
      <c r="J21" s="5">
        <v>100.7</v>
      </c>
      <c r="K21" s="5">
        <v>100.9</v>
      </c>
      <c r="L21" s="5">
        <v>100.5</v>
      </c>
      <c r="M21" s="5">
        <v>100.8</v>
      </c>
      <c r="N21" s="5">
        <v>100.4</v>
      </c>
      <c r="O21" s="5">
        <v>100.6</v>
      </c>
      <c r="P21" s="5">
        <v>100.5</v>
      </c>
      <c r="Q21" s="27">
        <v>100.9</v>
      </c>
      <c r="R21" s="27">
        <v>101.2</v>
      </c>
      <c r="S21" s="28">
        <v>101.5</v>
      </c>
      <c r="T21" s="20"/>
    </row>
    <row r="22" spans="3:20" ht="37.5">
      <c r="C22" s="21" t="s">
        <v>108</v>
      </c>
      <c r="D22" s="15" t="s">
        <v>26</v>
      </c>
      <c r="E22" s="4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37">
        <v>0</v>
      </c>
      <c r="R22" s="37">
        <v>0</v>
      </c>
      <c r="S22" s="38">
        <v>0</v>
      </c>
      <c r="T22" s="20"/>
    </row>
    <row r="23" spans="3:20" ht="37.5">
      <c r="C23" s="21" t="s">
        <v>109</v>
      </c>
      <c r="D23" s="4" t="s">
        <v>26</v>
      </c>
      <c r="E23" s="4">
        <v>74.9</v>
      </c>
      <c r="F23" s="5">
        <v>82.7</v>
      </c>
      <c r="G23" s="5">
        <v>99.3</v>
      </c>
      <c r="H23" s="5">
        <v>100.3</v>
      </c>
      <c r="I23" s="5">
        <v>100.7</v>
      </c>
      <c r="J23" s="5">
        <v>100.6</v>
      </c>
      <c r="K23" s="5">
        <v>100.8</v>
      </c>
      <c r="L23" s="5">
        <v>100.5</v>
      </c>
      <c r="M23" s="5">
        <v>100.8</v>
      </c>
      <c r="N23" s="5">
        <v>100.6</v>
      </c>
      <c r="O23" s="5">
        <v>100.9</v>
      </c>
      <c r="P23" s="5">
        <v>100.7</v>
      </c>
      <c r="Q23" s="27">
        <v>101.1</v>
      </c>
      <c r="R23" s="27">
        <v>101.3</v>
      </c>
      <c r="S23" s="28">
        <v>101.7</v>
      </c>
      <c r="T23" s="20"/>
    </row>
    <row r="24" spans="3:20" ht="37.5">
      <c r="C24" s="22" t="s">
        <v>110</v>
      </c>
      <c r="D24" s="4" t="s">
        <v>26</v>
      </c>
      <c r="E24" s="4">
        <v>80.6</v>
      </c>
      <c r="F24" s="5">
        <v>90.2</v>
      </c>
      <c r="G24" s="5">
        <v>100</v>
      </c>
      <c r="H24" s="5">
        <v>100.6</v>
      </c>
      <c r="I24" s="5">
        <v>101</v>
      </c>
      <c r="J24" s="5">
        <v>100.6</v>
      </c>
      <c r="K24" s="5">
        <v>100.8</v>
      </c>
      <c r="L24" s="5">
        <v>100.4</v>
      </c>
      <c r="M24" s="5">
        <v>100.7</v>
      </c>
      <c r="N24" s="5">
        <v>100.4</v>
      </c>
      <c r="O24" s="5">
        <v>100.6</v>
      </c>
      <c r="P24" s="5">
        <v>100.7</v>
      </c>
      <c r="Q24" s="27">
        <v>101.1</v>
      </c>
      <c r="R24" s="27">
        <v>101.4</v>
      </c>
      <c r="S24" s="28">
        <v>101.9</v>
      </c>
      <c r="T24" s="20"/>
    </row>
    <row r="25" spans="3:20" ht="37.5">
      <c r="C25" s="22" t="s">
        <v>111</v>
      </c>
      <c r="D25" s="15" t="s">
        <v>26</v>
      </c>
      <c r="E25" s="4">
        <v>93.5</v>
      </c>
      <c r="F25" s="5">
        <v>109.1</v>
      </c>
      <c r="G25" s="5">
        <v>83.7</v>
      </c>
      <c r="H25" s="5">
        <v>101.2</v>
      </c>
      <c r="I25" s="5">
        <v>101.8</v>
      </c>
      <c r="J25" s="5">
        <v>101.2</v>
      </c>
      <c r="K25" s="5">
        <v>101.7</v>
      </c>
      <c r="L25" s="5">
        <v>100.2</v>
      </c>
      <c r="M25" s="5">
        <v>100.7</v>
      </c>
      <c r="N25" s="5">
        <v>100.3</v>
      </c>
      <c r="O25" s="5">
        <v>100.5</v>
      </c>
      <c r="P25" s="5">
        <v>100.2</v>
      </c>
      <c r="Q25" s="27">
        <v>100.4</v>
      </c>
      <c r="R25" s="27">
        <v>100.5</v>
      </c>
      <c r="S25" s="28">
        <v>100.7</v>
      </c>
      <c r="T25" s="20"/>
    </row>
    <row r="26" spans="3:20" ht="93.75">
      <c r="C26" s="22" t="s">
        <v>112</v>
      </c>
      <c r="D26" s="4" t="s">
        <v>26</v>
      </c>
      <c r="E26" s="4">
        <v>25.3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43">
        <v>0</v>
      </c>
      <c r="R26" s="43">
        <v>0</v>
      </c>
      <c r="S26" s="44">
        <v>0</v>
      </c>
      <c r="T26" s="20"/>
    </row>
    <row r="27" spans="3:20" ht="37.5">
      <c r="C27" s="22" t="s">
        <v>113</v>
      </c>
      <c r="D27" s="4" t="s">
        <v>26</v>
      </c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3"/>
      <c r="R27" s="43"/>
      <c r="S27" s="44"/>
      <c r="T27" s="20"/>
    </row>
    <row r="28" spans="3:20" ht="56.25">
      <c r="C28" s="22" t="s">
        <v>114</v>
      </c>
      <c r="D28" s="15" t="s">
        <v>26</v>
      </c>
      <c r="E28" s="4">
        <v>94.6</v>
      </c>
      <c r="F28" s="5">
        <v>69.5</v>
      </c>
      <c r="G28" s="5">
        <v>91.7</v>
      </c>
      <c r="H28" s="5">
        <v>97</v>
      </c>
      <c r="I28" s="5">
        <v>97.2</v>
      </c>
      <c r="J28" s="5">
        <v>100.2</v>
      </c>
      <c r="K28" s="5">
        <v>100.3</v>
      </c>
      <c r="L28" s="5">
        <v>100.3</v>
      </c>
      <c r="M28" s="5">
        <v>100.5</v>
      </c>
      <c r="N28" s="5">
        <v>100.5</v>
      </c>
      <c r="O28" s="5">
        <v>100.7</v>
      </c>
      <c r="P28" s="5">
        <v>100.6</v>
      </c>
      <c r="Q28" s="27">
        <v>100.8</v>
      </c>
      <c r="R28" s="27">
        <v>100.2</v>
      </c>
      <c r="S28" s="28">
        <v>100.5</v>
      </c>
      <c r="T28" s="20"/>
    </row>
    <row r="29" spans="3:20" ht="37.5">
      <c r="C29" s="22" t="s">
        <v>115</v>
      </c>
      <c r="D29" s="4" t="s">
        <v>26</v>
      </c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7"/>
      <c r="R29" s="27"/>
      <c r="S29" s="28"/>
      <c r="T29" s="20"/>
    </row>
    <row r="30" spans="3:20" ht="37.5">
      <c r="C30" s="22" t="s">
        <v>116</v>
      </c>
      <c r="D30" s="4" t="s">
        <v>26</v>
      </c>
      <c r="E30" s="4">
        <v>98.2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37">
        <v>0</v>
      </c>
      <c r="R30" s="37">
        <v>0</v>
      </c>
      <c r="S30" s="38">
        <v>0</v>
      </c>
      <c r="T30" s="20"/>
    </row>
    <row r="31" spans="3:20" ht="75">
      <c r="C31" s="21" t="s">
        <v>131</v>
      </c>
      <c r="D31" s="4" t="s">
        <v>26</v>
      </c>
      <c r="E31" s="4">
        <v>107.2</v>
      </c>
      <c r="F31" s="5">
        <v>82.61</v>
      </c>
      <c r="G31" s="5">
        <v>100.8</v>
      </c>
      <c r="H31" s="5">
        <v>101.8</v>
      </c>
      <c r="I31" s="5">
        <v>102.5</v>
      </c>
      <c r="J31" s="5">
        <v>100.9</v>
      </c>
      <c r="K31" s="5">
        <v>101.5</v>
      </c>
      <c r="L31" s="5">
        <v>100.5</v>
      </c>
      <c r="M31" s="5">
        <v>100.7</v>
      </c>
      <c r="N31" s="5">
        <v>100.5</v>
      </c>
      <c r="O31" s="5">
        <v>100.7</v>
      </c>
      <c r="P31" s="5">
        <v>100.3</v>
      </c>
      <c r="Q31" s="27">
        <v>100.6</v>
      </c>
      <c r="R31" s="27">
        <v>101.5</v>
      </c>
      <c r="S31" s="28">
        <v>101.8</v>
      </c>
      <c r="T31" s="20"/>
    </row>
    <row r="32" spans="3:20" ht="93.75">
      <c r="C32" s="21" t="s">
        <v>117</v>
      </c>
      <c r="D32" s="4" t="s">
        <v>26</v>
      </c>
      <c r="E32" s="4">
        <v>100.1</v>
      </c>
      <c r="F32" s="5">
        <v>99.7</v>
      </c>
      <c r="G32" s="5">
        <v>99.6</v>
      </c>
      <c r="H32" s="5">
        <v>99.7</v>
      </c>
      <c r="I32" s="5">
        <v>100</v>
      </c>
      <c r="J32" s="5">
        <v>100.5</v>
      </c>
      <c r="K32" s="5">
        <v>100.8</v>
      </c>
      <c r="L32" s="5">
        <v>100.5</v>
      </c>
      <c r="M32" s="5">
        <v>100.8</v>
      </c>
      <c r="N32" s="5">
        <v>100.3</v>
      </c>
      <c r="O32" s="5">
        <v>100.5</v>
      </c>
      <c r="P32" s="5">
        <v>100.3</v>
      </c>
      <c r="Q32" s="27">
        <v>100.5</v>
      </c>
      <c r="R32" s="27">
        <v>100.5</v>
      </c>
      <c r="S32" s="28">
        <v>100.8</v>
      </c>
      <c r="T32" s="20"/>
    </row>
    <row r="33" spans="1:20" ht="18.75">
      <c r="A33" s="13"/>
      <c r="B33" s="13"/>
      <c r="C33" s="6" t="s">
        <v>0</v>
      </c>
      <c r="D33" s="4" t="s">
        <v>1</v>
      </c>
      <c r="E33" s="45">
        <v>23.843</v>
      </c>
      <c r="F33" s="39">
        <v>22.994</v>
      </c>
      <c r="G33" s="39">
        <f>F33*100.2/100</f>
        <v>23.039987999999997</v>
      </c>
      <c r="H33" s="39">
        <f>G33*101.1/100</f>
        <v>23.293427867999995</v>
      </c>
      <c r="I33" s="39">
        <f>H33</f>
        <v>23.293427867999995</v>
      </c>
      <c r="J33" s="39">
        <f>H33*100.2/100</f>
        <v>23.340014723735994</v>
      </c>
      <c r="K33" s="39">
        <f>J33</f>
        <v>23.340014723735994</v>
      </c>
      <c r="L33" s="39">
        <f>J33*100.5/100</f>
        <v>23.456714797354675</v>
      </c>
      <c r="M33" s="39">
        <f>L33</f>
        <v>23.456714797354675</v>
      </c>
      <c r="N33" s="39">
        <f>L33*100.6/100</f>
        <v>23.5974550861388</v>
      </c>
      <c r="O33" s="39">
        <f>N33</f>
        <v>23.5974550861388</v>
      </c>
      <c r="P33" s="39">
        <f>N33*100.5/100</f>
        <v>23.715442361569494</v>
      </c>
      <c r="Q33" s="42">
        <f>P33</f>
        <v>23.715442361569494</v>
      </c>
      <c r="R33" s="42">
        <f>P33*100.5/100</f>
        <v>23.83401957337734</v>
      </c>
      <c r="S33" s="46">
        <f>R33</f>
        <v>23.83401957337734</v>
      </c>
      <c r="T33" s="20"/>
    </row>
    <row r="34" spans="3:20" ht="56.25">
      <c r="C34" s="6" t="s">
        <v>2</v>
      </c>
      <c r="D34" s="4" t="s">
        <v>3</v>
      </c>
      <c r="E34" s="4">
        <v>1108</v>
      </c>
      <c r="F34" s="47">
        <f>E34*F35/100</f>
        <v>1197.7479999999998</v>
      </c>
      <c r="G34" s="47">
        <f>F34*G35/100</f>
        <v>1246.8556679999997</v>
      </c>
      <c r="H34" s="47">
        <f>G34*H35/100</f>
        <v>1332.8887090919995</v>
      </c>
      <c r="I34" s="47">
        <f aca="true" t="shared" si="3" ref="I34:S34">G34*I35/100</f>
        <v>1309.1984513999996</v>
      </c>
      <c r="J34" s="47">
        <f t="shared" si="3"/>
        <v>1390.2029235829555</v>
      </c>
      <c r="K34" s="47">
        <f t="shared" si="3"/>
        <v>1365.4939848101994</v>
      </c>
      <c r="L34" s="47">
        <f t="shared" si="3"/>
        <v>1447.2012434498567</v>
      </c>
      <c r="M34" s="47">
        <f t="shared" si="3"/>
        <v>1421.4792381874174</v>
      </c>
      <c r="N34" s="47">
        <f t="shared" si="3"/>
        <v>1506.5364944313008</v>
      </c>
      <c r="O34" s="47">
        <f t="shared" si="3"/>
        <v>1479.7598869531014</v>
      </c>
      <c r="P34" s="47">
        <f t="shared" si="3"/>
        <v>1568.3044907029841</v>
      </c>
      <c r="Q34" s="48">
        <f t="shared" si="3"/>
        <v>1540.4300423181785</v>
      </c>
      <c r="R34" s="48">
        <f t="shared" si="3"/>
        <v>1631.0366703311033</v>
      </c>
      <c r="S34" s="49">
        <f t="shared" si="3"/>
        <v>1602.0472440109056</v>
      </c>
      <c r="T34" s="20"/>
    </row>
    <row r="35" spans="3:20" ht="56.25">
      <c r="C35" s="6" t="s">
        <v>200</v>
      </c>
      <c r="D35" s="4" t="s">
        <v>4</v>
      </c>
      <c r="E35" s="4">
        <v>110.3</v>
      </c>
      <c r="F35" s="5">
        <v>108.1</v>
      </c>
      <c r="G35" s="5">
        <v>104.1</v>
      </c>
      <c r="H35" s="5">
        <v>106.9</v>
      </c>
      <c r="I35" s="5">
        <v>105</v>
      </c>
      <c r="J35" s="5">
        <v>104.3</v>
      </c>
      <c r="K35" s="5">
        <v>104.3</v>
      </c>
      <c r="L35" s="5">
        <v>104.1</v>
      </c>
      <c r="M35" s="5">
        <v>104.1</v>
      </c>
      <c r="N35" s="5">
        <v>104.1</v>
      </c>
      <c r="O35" s="5">
        <v>104.1</v>
      </c>
      <c r="P35" s="5">
        <v>104.1</v>
      </c>
      <c r="Q35" s="5">
        <v>104.1</v>
      </c>
      <c r="R35" s="5">
        <v>104</v>
      </c>
      <c r="S35" s="5">
        <v>104</v>
      </c>
      <c r="T35" s="20"/>
    </row>
    <row r="36" spans="3:20" ht="18.75">
      <c r="C36" s="3" t="s">
        <v>201</v>
      </c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8"/>
      <c r="R36" s="18"/>
      <c r="S36" s="19"/>
      <c r="T36" s="20"/>
    </row>
    <row r="37" spans="3:20" ht="18.75">
      <c r="C37" s="7" t="s">
        <v>5</v>
      </c>
      <c r="D37" s="8" t="s">
        <v>6</v>
      </c>
      <c r="E37" s="8">
        <v>753.5</v>
      </c>
      <c r="F37" s="5">
        <v>772.6</v>
      </c>
      <c r="G37" s="5">
        <v>690.2</v>
      </c>
      <c r="H37" s="5">
        <f>G37*G38/100</f>
        <v>518.3402</v>
      </c>
      <c r="I37" s="5">
        <f>H37*H38/100</f>
        <v>530.2620245999999</v>
      </c>
      <c r="J37" s="5">
        <f>I37*I38/100</f>
        <v>545.1093612888</v>
      </c>
      <c r="K37" s="5">
        <f>J37*J38/100</f>
        <v>552.7408923468432</v>
      </c>
      <c r="L37" s="5">
        <f aca="true" t="shared" si="4" ref="L37:S37">K37*K38/100</f>
        <v>566.5594146555144</v>
      </c>
      <c r="M37" s="5">
        <f t="shared" si="4"/>
        <v>575.0578058753471</v>
      </c>
      <c r="N37" s="5">
        <f t="shared" si="4"/>
        <v>585.4088463811033</v>
      </c>
      <c r="O37" s="5">
        <f t="shared" si="4"/>
        <v>593.6045702304389</v>
      </c>
      <c r="P37" s="5">
        <f t="shared" si="4"/>
        <v>604.8830570648173</v>
      </c>
      <c r="Q37" s="5">
        <f t="shared" si="4"/>
        <v>618.795367377308</v>
      </c>
      <c r="R37" s="5">
        <f t="shared" si="4"/>
        <v>635.5028422964954</v>
      </c>
      <c r="S37" s="5">
        <f t="shared" si="4"/>
        <v>650.1194076693148</v>
      </c>
      <c r="T37" s="20"/>
    </row>
    <row r="38" spans="3:20" ht="37.5">
      <c r="C38" s="6" t="s">
        <v>7</v>
      </c>
      <c r="D38" s="4" t="s">
        <v>26</v>
      </c>
      <c r="E38" s="4">
        <v>95.8</v>
      </c>
      <c r="F38" s="5">
        <v>121</v>
      </c>
      <c r="G38" s="5">
        <v>75.1</v>
      </c>
      <c r="H38" s="5">
        <v>102.3</v>
      </c>
      <c r="I38" s="5">
        <v>102.8</v>
      </c>
      <c r="J38" s="5">
        <v>101.4</v>
      </c>
      <c r="K38" s="5">
        <v>102.5</v>
      </c>
      <c r="L38" s="5">
        <v>101.5</v>
      </c>
      <c r="M38" s="5">
        <v>101.8</v>
      </c>
      <c r="N38" s="5">
        <v>101.4</v>
      </c>
      <c r="O38" s="5">
        <v>101.9</v>
      </c>
      <c r="P38" s="5">
        <v>102.3</v>
      </c>
      <c r="Q38" s="31">
        <v>102.7</v>
      </c>
      <c r="R38" s="31">
        <v>102.3</v>
      </c>
      <c r="S38" s="32">
        <v>102.6</v>
      </c>
      <c r="T38" s="20"/>
    </row>
    <row r="39" spans="3:20" ht="37.5">
      <c r="C39" s="6" t="s">
        <v>8</v>
      </c>
      <c r="D39" s="4" t="s">
        <v>98</v>
      </c>
      <c r="E39" s="4">
        <v>102.8</v>
      </c>
      <c r="F39" s="5">
        <v>83</v>
      </c>
      <c r="G39" s="5">
        <v>118</v>
      </c>
      <c r="H39" s="5">
        <v>103.5</v>
      </c>
      <c r="I39" s="5">
        <v>103.3</v>
      </c>
      <c r="J39" s="5">
        <v>103.1</v>
      </c>
      <c r="K39" s="5">
        <v>103</v>
      </c>
      <c r="L39" s="5">
        <v>103.3</v>
      </c>
      <c r="M39" s="5">
        <v>103.1</v>
      </c>
      <c r="N39" s="5">
        <v>103.7</v>
      </c>
      <c r="O39" s="5">
        <v>103.5</v>
      </c>
      <c r="P39" s="5">
        <v>104</v>
      </c>
      <c r="Q39" s="31">
        <v>103.8</v>
      </c>
      <c r="R39" s="31">
        <v>104.2</v>
      </c>
      <c r="S39" s="32">
        <v>104</v>
      </c>
      <c r="T39" s="20"/>
    </row>
    <row r="40" spans="3:20" ht="37.5">
      <c r="C40" s="6" t="s">
        <v>9</v>
      </c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1"/>
      <c r="R40" s="31"/>
      <c r="S40" s="32"/>
      <c r="T40" s="20"/>
    </row>
    <row r="41" spans="3:20" ht="18.75">
      <c r="C41" s="6" t="s">
        <v>10</v>
      </c>
      <c r="D41" s="4" t="s">
        <v>11</v>
      </c>
      <c r="E41" s="4">
        <v>400.56</v>
      </c>
      <c r="F41" s="5">
        <v>435.53</v>
      </c>
      <c r="G41" s="5">
        <f>F41*F42/100</f>
        <v>618.4526</v>
      </c>
      <c r="H41" s="5">
        <f aca="true" t="shared" si="5" ref="H41:S41">G41*G42/100</f>
        <v>353.7548872</v>
      </c>
      <c r="I41" s="5">
        <f t="shared" si="5"/>
        <v>364.367533816</v>
      </c>
      <c r="J41" s="5">
        <f t="shared" si="5"/>
        <v>377.12039749956</v>
      </c>
      <c r="K41" s="5">
        <f t="shared" si="5"/>
        <v>382.77720346205336</v>
      </c>
      <c r="L41" s="5">
        <f t="shared" si="5"/>
        <v>389.28441592090826</v>
      </c>
      <c r="M41" s="5">
        <f t="shared" si="5"/>
        <v>395.12368215972185</v>
      </c>
      <c r="N41" s="5">
        <f t="shared" si="5"/>
        <v>403.81640316723576</v>
      </c>
      <c r="O41" s="5">
        <f t="shared" si="5"/>
        <v>408.66220000524265</v>
      </c>
      <c r="P41" s="5">
        <f t="shared" si="5"/>
        <v>414.3834708053161</v>
      </c>
      <c r="Q41" s="5">
        <f>P41*P42/100</f>
        <v>427.2293584002809</v>
      </c>
      <c r="R41" s="5">
        <f t="shared" si="5"/>
        <v>442.18238594429073</v>
      </c>
      <c r="S41" s="5">
        <f t="shared" si="5"/>
        <v>451.91039843506513</v>
      </c>
      <c r="T41" s="20"/>
    </row>
    <row r="42" spans="3:20" ht="37.5">
      <c r="C42" s="6" t="s">
        <v>12</v>
      </c>
      <c r="D42" s="4" t="s">
        <v>26</v>
      </c>
      <c r="E42" s="4">
        <v>90.2</v>
      </c>
      <c r="F42" s="5">
        <v>142</v>
      </c>
      <c r="G42" s="5">
        <v>57.2</v>
      </c>
      <c r="H42" s="5">
        <v>103</v>
      </c>
      <c r="I42" s="5">
        <v>103.5</v>
      </c>
      <c r="J42" s="5">
        <v>101.5</v>
      </c>
      <c r="K42" s="5">
        <v>101.7</v>
      </c>
      <c r="L42" s="5">
        <v>101.5</v>
      </c>
      <c r="M42" s="5">
        <v>102.2</v>
      </c>
      <c r="N42" s="5">
        <v>101.2</v>
      </c>
      <c r="O42" s="5">
        <v>101.4</v>
      </c>
      <c r="P42" s="5">
        <v>103.1</v>
      </c>
      <c r="Q42" s="31">
        <v>103.5</v>
      </c>
      <c r="R42" s="31">
        <v>102.2</v>
      </c>
      <c r="S42" s="32">
        <v>102.5</v>
      </c>
      <c r="T42" s="20"/>
    </row>
    <row r="43" spans="3:20" ht="37.5">
      <c r="C43" s="6" t="s">
        <v>13</v>
      </c>
      <c r="D43" s="4" t="s">
        <v>98</v>
      </c>
      <c r="E43" s="4">
        <v>104.2</v>
      </c>
      <c r="F43" s="5">
        <v>75</v>
      </c>
      <c r="G43" s="5">
        <v>135</v>
      </c>
      <c r="H43" s="5">
        <v>103.7</v>
      </c>
      <c r="I43" s="5">
        <v>103.5</v>
      </c>
      <c r="J43" s="5">
        <v>102.9</v>
      </c>
      <c r="K43" s="5">
        <v>102.7</v>
      </c>
      <c r="L43" s="5">
        <v>102.9</v>
      </c>
      <c r="M43" s="5">
        <v>102.7</v>
      </c>
      <c r="N43" s="5">
        <v>103.5</v>
      </c>
      <c r="O43" s="5">
        <v>103.3</v>
      </c>
      <c r="P43" s="5">
        <v>104</v>
      </c>
      <c r="Q43" s="31">
        <v>103.8</v>
      </c>
      <c r="R43" s="31">
        <v>104.3</v>
      </c>
      <c r="S43" s="32">
        <v>104.1</v>
      </c>
      <c r="T43" s="20"/>
    </row>
    <row r="44" spans="3:20" ht="18.75">
      <c r="C44" s="6" t="s">
        <v>14</v>
      </c>
      <c r="D44" s="4" t="s">
        <v>11</v>
      </c>
      <c r="E44" s="4">
        <v>355.16</v>
      </c>
      <c r="F44" s="5">
        <f>E44*E45/100</f>
        <v>371.49735999999996</v>
      </c>
      <c r="G44" s="5">
        <f aca="true" t="shared" si="6" ref="G44:S44">F44*F45/100</f>
        <v>367.78238639999995</v>
      </c>
      <c r="H44" s="5">
        <f t="shared" si="6"/>
        <v>376.6091636736</v>
      </c>
      <c r="I44" s="5">
        <f>H44*H45/100</f>
        <v>383.3881286197248</v>
      </c>
      <c r="J44" s="5">
        <f t="shared" si="6"/>
        <v>391.8226674493588</v>
      </c>
      <c r="K44" s="5">
        <f t="shared" si="6"/>
        <v>396.91636212620045</v>
      </c>
      <c r="L44" s="5">
        <f t="shared" si="6"/>
        <v>410.01460207636507</v>
      </c>
      <c r="M44" s="5">
        <f t="shared" si="6"/>
        <v>416.5748357095869</v>
      </c>
      <c r="N44" s="5">
        <f t="shared" si="6"/>
        <v>424.0731827523595</v>
      </c>
      <c r="O44" s="5">
        <f t="shared" si="6"/>
        <v>430.85835367639726</v>
      </c>
      <c r="P44" s="5">
        <f t="shared" si="6"/>
        <v>440.7680958109544</v>
      </c>
      <c r="Q44" s="5">
        <f t="shared" si="6"/>
        <v>448.2611534397406</v>
      </c>
      <c r="R44" s="5">
        <f t="shared" si="6"/>
        <v>456.77811535509574</v>
      </c>
      <c r="S44" s="5">
        <f t="shared" si="6"/>
        <v>467.28401200826295</v>
      </c>
      <c r="T44" s="20"/>
    </row>
    <row r="45" spans="3:20" ht="37.5">
      <c r="C45" s="6" t="s">
        <v>15</v>
      </c>
      <c r="D45" s="4" t="s">
        <v>26</v>
      </c>
      <c r="E45" s="4">
        <v>104.6</v>
      </c>
      <c r="F45" s="5">
        <v>99</v>
      </c>
      <c r="G45" s="5">
        <v>102.4</v>
      </c>
      <c r="H45" s="5">
        <v>101.8</v>
      </c>
      <c r="I45" s="5">
        <v>102.2</v>
      </c>
      <c r="J45" s="5">
        <v>101.3</v>
      </c>
      <c r="K45" s="5">
        <v>103.3</v>
      </c>
      <c r="L45" s="5">
        <v>101.6</v>
      </c>
      <c r="M45" s="5">
        <v>101.8</v>
      </c>
      <c r="N45" s="5">
        <v>101.6</v>
      </c>
      <c r="O45" s="5">
        <v>102.3</v>
      </c>
      <c r="P45" s="5">
        <v>101.7</v>
      </c>
      <c r="Q45" s="31">
        <v>101.9</v>
      </c>
      <c r="R45" s="31">
        <v>102.3</v>
      </c>
      <c r="S45" s="32">
        <v>102.7</v>
      </c>
      <c r="T45" s="20"/>
    </row>
    <row r="46" spans="3:20" ht="37.5">
      <c r="C46" s="6" t="s">
        <v>16</v>
      </c>
      <c r="D46" s="4" t="s">
        <v>98</v>
      </c>
      <c r="E46" s="4">
        <v>100.4</v>
      </c>
      <c r="F46" s="5">
        <v>94.5</v>
      </c>
      <c r="G46" s="5">
        <v>100.9</v>
      </c>
      <c r="H46" s="5">
        <v>103.2</v>
      </c>
      <c r="I46" s="5">
        <v>103</v>
      </c>
      <c r="J46" s="5">
        <v>103.3</v>
      </c>
      <c r="K46" s="5">
        <v>103.3</v>
      </c>
      <c r="L46" s="5">
        <v>103.7</v>
      </c>
      <c r="M46" s="5">
        <v>103.2</v>
      </c>
      <c r="N46" s="5">
        <v>103.9</v>
      </c>
      <c r="O46" s="5">
        <v>103.7</v>
      </c>
      <c r="P46" s="5">
        <v>103.9</v>
      </c>
      <c r="Q46" s="31">
        <v>103.8</v>
      </c>
      <c r="R46" s="31">
        <v>104.2</v>
      </c>
      <c r="S46" s="32">
        <v>103.9</v>
      </c>
      <c r="T46" s="20"/>
    </row>
    <row r="47" spans="3:20" ht="56.25">
      <c r="C47" s="3" t="s">
        <v>202</v>
      </c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1"/>
      <c r="R47" s="31"/>
      <c r="S47" s="32"/>
      <c r="T47" s="20"/>
    </row>
    <row r="48" spans="3:20" ht="18.75">
      <c r="C48" s="6" t="s">
        <v>136</v>
      </c>
      <c r="D48" s="4" t="s">
        <v>18</v>
      </c>
      <c r="E48" s="4">
        <v>21.67</v>
      </c>
      <c r="F48" s="5">
        <v>47.77</v>
      </c>
      <c r="G48" s="5">
        <v>15.27</v>
      </c>
      <c r="H48" s="5">
        <v>15.85</v>
      </c>
      <c r="I48" s="5">
        <v>15.88</v>
      </c>
      <c r="J48" s="5">
        <v>16.37</v>
      </c>
      <c r="K48" s="5" t="s">
        <v>229</v>
      </c>
      <c r="L48" s="5">
        <v>16.3</v>
      </c>
      <c r="M48" s="5" t="s">
        <v>230</v>
      </c>
      <c r="N48" s="5">
        <v>16.55</v>
      </c>
      <c r="O48" s="5">
        <v>16.55</v>
      </c>
      <c r="P48" s="5">
        <v>16.99</v>
      </c>
      <c r="Q48" s="31">
        <v>17.67</v>
      </c>
      <c r="R48" s="31">
        <v>17.67</v>
      </c>
      <c r="S48" s="32">
        <v>18.13</v>
      </c>
      <c r="T48" s="20"/>
    </row>
    <row r="49" spans="3:20" ht="18.75">
      <c r="C49" s="6" t="s">
        <v>139</v>
      </c>
      <c r="D49" s="80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20"/>
    </row>
    <row r="50" spans="3:20" ht="18.75">
      <c r="C50" s="6" t="s">
        <v>137</v>
      </c>
      <c r="D50" s="4" t="s">
        <v>18</v>
      </c>
      <c r="E50" s="4">
        <v>5.51</v>
      </c>
      <c r="F50" s="5">
        <v>7.07</v>
      </c>
      <c r="G50" s="5">
        <v>3.72</v>
      </c>
      <c r="H50" s="5">
        <v>3.86</v>
      </c>
      <c r="I50" s="5">
        <v>3.87</v>
      </c>
      <c r="J50" s="5">
        <v>3.92</v>
      </c>
      <c r="K50" s="5">
        <v>3.87</v>
      </c>
      <c r="L50" s="5">
        <v>3.97</v>
      </c>
      <c r="M50" s="5">
        <v>4.07</v>
      </c>
      <c r="N50" s="5">
        <v>4.03</v>
      </c>
      <c r="O50" s="5">
        <v>4.32</v>
      </c>
      <c r="P50" s="5">
        <v>4.14</v>
      </c>
      <c r="Q50" s="31">
        <v>4.23</v>
      </c>
      <c r="R50" s="31">
        <v>4.23</v>
      </c>
      <c r="S50" s="32">
        <v>4.33</v>
      </c>
      <c r="T50" s="20"/>
    </row>
    <row r="51" spans="3:20" ht="18.75">
      <c r="C51" s="6" t="s">
        <v>134</v>
      </c>
      <c r="D51" s="4" t="s">
        <v>18</v>
      </c>
      <c r="E51" s="4">
        <v>5.51</v>
      </c>
      <c r="F51" s="5">
        <v>7.07</v>
      </c>
      <c r="G51" s="5">
        <v>3.72</v>
      </c>
      <c r="H51" s="5">
        <v>3.86</v>
      </c>
      <c r="I51" s="5">
        <v>3.87</v>
      </c>
      <c r="J51" s="5">
        <v>3.92</v>
      </c>
      <c r="K51" s="5">
        <v>3.87</v>
      </c>
      <c r="L51" s="5">
        <v>3.97</v>
      </c>
      <c r="M51" s="5">
        <v>4.07</v>
      </c>
      <c r="N51" s="5">
        <v>4.03</v>
      </c>
      <c r="O51" s="5">
        <v>4.32</v>
      </c>
      <c r="P51" s="5">
        <v>4.14</v>
      </c>
      <c r="Q51" s="31">
        <v>4.23</v>
      </c>
      <c r="R51" s="31">
        <v>4.23</v>
      </c>
      <c r="S51" s="32">
        <v>4.33</v>
      </c>
      <c r="T51" s="20"/>
    </row>
    <row r="52" spans="3:20" ht="18.75">
      <c r="C52" s="6" t="s">
        <v>133</v>
      </c>
      <c r="D52" s="4" t="s">
        <v>18</v>
      </c>
      <c r="E52" s="4">
        <v>4.92</v>
      </c>
      <c r="F52" s="5">
        <v>3.56</v>
      </c>
      <c r="G52" s="5">
        <v>3.57</v>
      </c>
      <c r="H52" s="5">
        <v>3.68</v>
      </c>
      <c r="I52" s="5">
        <v>3.69</v>
      </c>
      <c r="J52" s="5">
        <v>3.74</v>
      </c>
      <c r="K52" s="5">
        <v>3.69</v>
      </c>
      <c r="L52" s="5">
        <v>3.79</v>
      </c>
      <c r="M52" s="5">
        <v>3.9</v>
      </c>
      <c r="N52" s="5">
        <v>3.85</v>
      </c>
      <c r="O52" s="5">
        <v>3.86</v>
      </c>
      <c r="P52" s="5">
        <v>3.99</v>
      </c>
      <c r="Q52" s="31">
        <v>4.05</v>
      </c>
      <c r="R52" s="31">
        <v>4.05</v>
      </c>
      <c r="S52" s="32">
        <v>4.12</v>
      </c>
      <c r="T52" s="20"/>
    </row>
    <row r="53" spans="3:20" ht="18.75">
      <c r="C53" s="6" t="s">
        <v>140</v>
      </c>
      <c r="D53" s="4" t="s">
        <v>18</v>
      </c>
      <c r="E53" s="4">
        <v>2</v>
      </c>
      <c r="F53" s="5">
        <v>1.35</v>
      </c>
      <c r="G53" s="5">
        <v>1.36</v>
      </c>
      <c r="H53" s="5">
        <v>1.4</v>
      </c>
      <c r="I53" s="5">
        <v>1.4</v>
      </c>
      <c r="J53" s="5">
        <v>1.42</v>
      </c>
      <c r="K53" s="5">
        <v>1.43</v>
      </c>
      <c r="L53" s="5">
        <v>1.44</v>
      </c>
      <c r="M53" s="5">
        <v>1.64</v>
      </c>
      <c r="N53" s="5">
        <v>1.44</v>
      </c>
      <c r="O53" s="5">
        <v>1.44</v>
      </c>
      <c r="P53" s="5">
        <v>1.46</v>
      </c>
      <c r="Q53" s="31">
        <v>2.97</v>
      </c>
      <c r="R53" s="31">
        <v>2.7</v>
      </c>
      <c r="S53" s="32">
        <v>3.05</v>
      </c>
      <c r="T53" s="20"/>
    </row>
    <row r="54" spans="3:20" ht="18.75">
      <c r="C54" s="6" t="s">
        <v>19</v>
      </c>
      <c r="D54" s="4" t="s">
        <v>18</v>
      </c>
      <c r="E54" s="4">
        <v>1.56</v>
      </c>
      <c r="F54" s="5">
        <v>1.54</v>
      </c>
      <c r="G54" s="5">
        <v>1.6</v>
      </c>
      <c r="H54" s="5">
        <v>1.73</v>
      </c>
      <c r="I54" s="5">
        <v>1.73</v>
      </c>
      <c r="J54" s="5">
        <v>1.76</v>
      </c>
      <c r="K54" s="5">
        <v>1.76</v>
      </c>
      <c r="L54" s="5">
        <v>1.78</v>
      </c>
      <c r="M54" s="5">
        <v>1.79</v>
      </c>
      <c r="N54" s="5">
        <v>1.68</v>
      </c>
      <c r="O54" s="5">
        <v>1.68</v>
      </c>
      <c r="P54" s="5">
        <v>1.71</v>
      </c>
      <c r="Q54" s="31">
        <v>1.82</v>
      </c>
      <c r="R54" s="31">
        <v>1.82</v>
      </c>
      <c r="S54" s="32">
        <v>1.81</v>
      </c>
      <c r="T54" s="20"/>
    </row>
    <row r="55" spans="3:20" ht="18.75">
      <c r="C55" s="6" t="s">
        <v>20</v>
      </c>
      <c r="D55" s="4" t="s">
        <v>18</v>
      </c>
      <c r="E55" s="4">
        <v>4.7</v>
      </c>
      <c r="F55" s="5">
        <v>4.59</v>
      </c>
      <c r="G55" s="5">
        <v>4.67</v>
      </c>
      <c r="H55" s="5">
        <v>4.88</v>
      </c>
      <c r="I55" s="5">
        <v>4.89</v>
      </c>
      <c r="J55" s="5">
        <v>4.97</v>
      </c>
      <c r="K55" s="5">
        <v>4.97</v>
      </c>
      <c r="L55" s="5">
        <v>5.05</v>
      </c>
      <c r="M55" s="5">
        <v>5.05</v>
      </c>
      <c r="N55" s="5">
        <v>502</v>
      </c>
      <c r="O55" s="5">
        <v>5.02</v>
      </c>
      <c r="P55" s="5">
        <v>5.09</v>
      </c>
      <c r="Q55" s="31">
        <v>5.38</v>
      </c>
      <c r="R55" s="31">
        <v>5.35</v>
      </c>
      <c r="S55" s="32">
        <v>5.38</v>
      </c>
      <c r="T55" s="20"/>
    </row>
    <row r="56" spans="3:20" ht="18.75">
      <c r="C56" s="6" t="s">
        <v>21</v>
      </c>
      <c r="D56" s="4" t="s">
        <v>22</v>
      </c>
      <c r="E56" s="4">
        <v>3.11</v>
      </c>
      <c r="F56" s="5">
        <v>1.18</v>
      </c>
      <c r="G56" s="5">
        <v>3.08</v>
      </c>
      <c r="H56" s="5">
        <v>3.17</v>
      </c>
      <c r="I56" s="5">
        <v>3.32</v>
      </c>
      <c r="J56" s="5">
        <v>3.32</v>
      </c>
      <c r="K56" s="5">
        <v>3.37</v>
      </c>
      <c r="L56" s="5">
        <v>3.38</v>
      </c>
      <c r="M56" s="5">
        <v>3.42</v>
      </c>
      <c r="N56" s="5">
        <v>3.44</v>
      </c>
      <c r="O56" s="5">
        <v>3.36</v>
      </c>
      <c r="P56" s="5">
        <v>3.36</v>
      </c>
      <c r="Q56" s="31">
        <v>3.36</v>
      </c>
      <c r="R56" s="31">
        <v>3.48</v>
      </c>
      <c r="S56" s="32">
        <v>3.48</v>
      </c>
      <c r="T56" s="20"/>
    </row>
    <row r="57" spans="3:20" ht="37.5">
      <c r="C57" s="6" t="s">
        <v>23</v>
      </c>
      <c r="D57" s="4" t="s">
        <v>18</v>
      </c>
      <c r="E57" s="4">
        <v>5.55</v>
      </c>
      <c r="F57" s="5">
        <v>5.18</v>
      </c>
      <c r="G57" s="5">
        <v>5.32</v>
      </c>
      <c r="H57" s="5">
        <v>5.47</v>
      </c>
      <c r="I57" s="5">
        <v>5.55</v>
      </c>
      <c r="J57" s="5">
        <v>5.62</v>
      </c>
      <c r="K57" s="5">
        <v>5.78</v>
      </c>
      <c r="L57" s="5">
        <v>5.7</v>
      </c>
      <c r="M57" s="5">
        <v>5.9</v>
      </c>
      <c r="N57" s="5">
        <v>5.78</v>
      </c>
      <c r="O57" s="5">
        <v>5.97</v>
      </c>
      <c r="P57" s="5">
        <v>5.85</v>
      </c>
      <c r="Q57" s="35">
        <v>6.08</v>
      </c>
      <c r="R57" s="35">
        <v>6.08</v>
      </c>
      <c r="S57" s="36">
        <v>6.46</v>
      </c>
      <c r="T57" s="20"/>
    </row>
    <row r="58" spans="3:20" ht="37.5">
      <c r="C58" s="6" t="s">
        <v>135</v>
      </c>
      <c r="D58" s="4" t="s">
        <v>18</v>
      </c>
      <c r="E58" s="4">
        <v>9.5</v>
      </c>
      <c r="F58" s="5">
        <v>7.03</v>
      </c>
      <c r="G58" s="5">
        <v>7</v>
      </c>
      <c r="H58" s="5">
        <v>7.01</v>
      </c>
      <c r="I58" s="5">
        <v>7.03</v>
      </c>
      <c r="J58" s="5">
        <v>7.03</v>
      </c>
      <c r="K58" s="5">
        <v>7.14</v>
      </c>
      <c r="L58" s="5">
        <v>7.2</v>
      </c>
      <c r="M58" s="5">
        <v>7.22</v>
      </c>
      <c r="N58" s="5">
        <v>7.2</v>
      </c>
      <c r="O58" s="5">
        <v>7.23</v>
      </c>
      <c r="P58" s="5">
        <v>7.21</v>
      </c>
      <c r="Q58" s="35">
        <v>7.8</v>
      </c>
      <c r="R58" s="35">
        <v>7.8</v>
      </c>
      <c r="S58" s="36">
        <v>8.36</v>
      </c>
      <c r="T58" s="20"/>
    </row>
    <row r="59" spans="3:20" ht="56.25">
      <c r="C59" s="6" t="s">
        <v>138</v>
      </c>
      <c r="D59" s="4" t="s">
        <v>24</v>
      </c>
      <c r="E59" s="4">
        <v>9.3</v>
      </c>
      <c r="F59" s="5">
        <v>10.2</v>
      </c>
      <c r="G59" s="5">
        <v>8.5</v>
      </c>
      <c r="H59" s="5">
        <v>8.6</v>
      </c>
      <c r="I59" s="5">
        <v>8.65</v>
      </c>
      <c r="J59" s="5">
        <v>8.7</v>
      </c>
      <c r="K59" s="5">
        <v>8.8</v>
      </c>
      <c r="L59" s="5">
        <v>8.72</v>
      </c>
      <c r="M59" s="5">
        <v>8.86</v>
      </c>
      <c r="N59" s="5">
        <v>8.89</v>
      </c>
      <c r="O59" s="5">
        <v>8.9</v>
      </c>
      <c r="P59" s="5">
        <v>8.9</v>
      </c>
      <c r="Q59" s="27">
        <v>8.94</v>
      </c>
      <c r="R59" s="27">
        <v>8.95</v>
      </c>
      <c r="S59" s="28">
        <v>9</v>
      </c>
      <c r="T59" s="20"/>
    </row>
    <row r="60" spans="3:20" ht="56.25">
      <c r="C60" s="6" t="s">
        <v>179</v>
      </c>
      <c r="D60" s="8" t="s">
        <v>25</v>
      </c>
      <c r="E60" s="8">
        <v>0.05</v>
      </c>
      <c r="F60" s="5">
        <v>0.05</v>
      </c>
      <c r="G60" s="5">
        <v>0.1</v>
      </c>
      <c r="H60" s="5">
        <f>G60*H61*H62/10000</f>
        <v>0.10122</v>
      </c>
      <c r="I60" s="5">
        <f aca="true" t="shared" si="7" ref="I60:S60">G60*I61*I62/10000</f>
        <v>0.10122850000000001</v>
      </c>
      <c r="J60" s="5">
        <f t="shared" si="7"/>
        <v>0.10268404608000001</v>
      </c>
      <c r="K60" s="5">
        <f t="shared" si="7"/>
        <v>0.10270066607550002</v>
      </c>
      <c r="L60" s="5">
        <f t="shared" si="7"/>
        <v>0.10430029296529922</v>
      </c>
      <c r="M60" s="5">
        <f t="shared" si="7"/>
        <v>0.10432456900748582</v>
      </c>
      <c r="N60" s="5">
        <f t="shared" si="7"/>
        <v>0.10605837870352232</v>
      </c>
      <c r="O60" s="5">
        <f t="shared" si="7"/>
        <v>0.10609026233793752</v>
      </c>
      <c r="P60" s="5">
        <f t="shared" si="7"/>
        <v>0.10775000984384349</v>
      </c>
      <c r="Q60" s="37">
        <f t="shared" si="7"/>
        <v>0.10778940397954191</v>
      </c>
      <c r="R60" s="37">
        <f t="shared" si="7"/>
        <v>0.10947573400150247</v>
      </c>
      <c r="S60" s="38">
        <f t="shared" si="7"/>
        <v>0.10952265759553295</v>
      </c>
      <c r="T60" s="20"/>
    </row>
    <row r="61" spans="3:20" ht="37.5">
      <c r="C61" s="6" t="s">
        <v>180</v>
      </c>
      <c r="D61" s="4" t="s">
        <v>26</v>
      </c>
      <c r="E61" s="4">
        <v>58.09</v>
      </c>
      <c r="F61" s="5">
        <v>101</v>
      </c>
      <c r="G61" s="5">
        <v>109</v>
      </c>
      <c r="H61" s="5">
        <v>96.4</v>
      </c>
      <c r="I61" s="5">
        <v>96.5</v>
      </c>
      <c r="J61" s="5">
        <v>96.8</v>
      </c>
      <c r="K61" s="5">
        <v>96.9</v>
      </c>
      <c r="L61" s="5">
        <v>97.2</v>
      </c>
      <c r="M61" s="5">
        <v>97.3</v>
      </c>
      <c r="N61" s="5">
        <v>97.4</v>
      </c>
      <c r="O61" s="5">
        <v>97.5</v>
      </c>
      <c r="P61" s="5">
        <v>97.5</v>
      </c>
      <c r="Q61" s="27">
        <v>97.6</v>
      </c>
      <c r="R61" s="27">
        <v>97.6</v>
      </c>
      <c r="S61" s="28">
        <v>97.7</v>
      </c>
      <c r="T61" s="20"/>
    </row>
    <row r="62" spans="3:20" ht="37.5">
      <c r="C62" s="6" t="s">
        <v>181</v>
      </c>
      <c r="D62" s="4" t="s">
        <v>98</v>
      </c>
      <c r="E62" s="4">
        <v>107.6</v>
      </c>
      <c r="F62" s="5">
        <v>99</v>
      </c>
      <c r="G62" s="5">
        <v>105.2</v>
      </c>
      <c r="H62" s="5">
        <v>105</v>
      </c>
      <c r="I62" s="5">
        <v>104.9</v>
      </c>
      <c r="J62" s="5">
        <v>104.8</v>
      </c>
      <c r="K62" s="5">
        <v>104.7</v>
      </c>
      <c r="L62" s="5">
        <v>104.5</v>
      </c>
      <c r="M62" s="5">
        <v>104.4</v>
      </c>
      <c r="N62" s="5">
        <v>104.4</v>
      </c>
      <c r="O62" s="5">
        <v>104.3</v>
      </c>
      <c r="P62" s="5">
        <v>104.2</v>
      </c>
      <c r="Q62" s="27">
        <v>104.1</v>
      </c>
      <c r="R62" s="27">
        <v>104.1</v>
      </c>
      <c r="S62" s="28">
        <v>104</v>
      </c>
      <c r="T62" s="20"/>
    </row>
    <row r="63" spans="3:20" ht="37.5">
      <c r="C63" s="7" t="s">
        <v>27</v>
      </c>
      <c r="D63" s="8" t="s">
        <v>28</v>
      </c>
      <c r="E63" s="8">
        <v>1.7</v>
      </c>
      <c r="F63" s="5">
        <v>2.4</v>
      </c>
      <c r="G63" s="5">
        <v>1.4</v>
      </c>
      <c r="H63" s="5">
        <v>1.4</v>
      </c>
      <c r="I63" s="5">
        <v>1.37</v>
      </c>
      <c r="J63" s="5">
        <v>1.45</v>
      </c>
      <c r="K63" s="5">
        <v>1.48</v>
      </c>
      <c r="L63" s="5">
        <v>1.45</v>
      </c>
      <c r="M63" s="5">
        <v>1.54</v>
      </c>
      <c r="N63" s="5">
        <v>1.61</v>
      </c>
      <c r="O63" s="5">
        <v>1.8</v>
      </c>
      <c r="P63" s="5">
        <v>2.16</v>
      </c>
      <c r="Q63" s="27">
        <v>4</v>
      </c>
      <c r="R63" s="37">
        <v>2.72</v>
      </c>
      <c r="S63" s="28">
        <v>3.04</v>
      </c>
      <c r="T63" s="20"/>
    </row>
    <row r="64" spans="3:20" ht="39.75" customHeight="1">
      <c r="C64" s="7" t="s">
        <v>221</v>
      </c>
      <c r="D64" s="4" t="s">
        <v>98</v>
      </c>
      <c r="E64" s="8">
        <v>64.3</v>
      </c>
      <c r="F64" s="5">
        <f>F63/E63*100</f>
        <v>141.1764705882353</v>
      </c>
      <c r="G64" s="5">
        <f>G63/F63*100</f>
        <v>58.333333333333336</v>
      </c>
      <c r="H64" s="5">
        <v>100</v>
      </c>
      <c r="I64" s="50">
        <v>102.9</v>
      </c>
      <c r="J64" s="50">
        <v>101.4</v>
      </c>
      <c r="K64" s="50">
        <v>102.8</v>
      </c>
      <c r="L64" s="50">
        <v>102</v>
      </c>
      <c r="M64" s="50">
        <v>102.7</v>
      </c>
      <c r="N64" s="50">
        <v>116</v>
      </c>
      <c r="O64" s="50">
        <v>118.4</v>
      </c>
      <c r="P64" s="50">
        <v>128.6</v>
      </c>
      <c r="Q64" s="33">
        <v>131.1</v>
      </c>
      <c r="R64" s="33">
        <v>125.9</v>
      </c>
      <c r="S64" s="34">
        <v>128.8</v>
      </c>
      <c r="T64" s="20"/>
    </row>
    <row r="65" spans="3:20" ht="18.75">
      <c r="C65" s="3" t="s">
        <v>203</v>
      </c>
      <c r="D65" s="4"/>
      <c r="E65" s="4"/>
      <c r="F65" s="5"/>
      <c r="G65" s="5"/>
      <c r="H65" s="5"/>
      <c r="I65" s="50"/>
      <c r="J65" s="50"/>
      <c r="K65" s="50"/>
      <c r="L65" s="50"/>
      <c r="M65" s="50"/>
      <c r="N65" s="50"/>
      <c r="O65" s="50"/>
      <c r="P65" s="50"/>
      <c r="Q65" s="33"/>
      <c r="R65" s="33"/>
      <c r="S65" s="34"/>
      <c r="T65" s="20"/>
    </row>
    <row r="66" spans="3:20" ht="37.5">
      <c r="C66" s="6" t="s">
        <v>193</v>
      </c>
      <c r="D66" s="4" t="s">
        <v>194</v>
      </c>
      <c r="E66" s="4">
        <v>104.5</v>
      </c>
      <c r="F66" s="5">
        <v>103.1</v>
      </c>
      <c r="G66" s="5">
        <v>102.5</v>
      </c>
      <c r="H66" s="5">
        <v>104</v>
      </c>
      <c r="I66" s="5">
        <v>103.8</v>
      </c>
      <c r="J66" s="5">
        <v>103.5</v>
      </c>
      <c r="K66" s="5">
        <v>103.3</v>
      </c>
      <c r="L66" s="5">
        <v>104</v>
      </c>
      <c r="M66" s="5">
        <v>103.8</v>
      </c>
      <c r="N66" s="5">
        <v>104</v>
      </c>
      <c r="O66" s="5">
        <v>103.8</v>
      </c>
      <c r="P66" s="5">
        <v>104</v>
      </c>
      <c r="Q66" s="27">
        <v>103.8</v>
      </c>
      <c r="R66" s="27">
        <v>104</v>
      </c>
      <c r="S66" s="28">
        <v>103.8</v>
      </c>
      <c r="T66" s="20"/>
    </row>
    <row r="67" spans="3:20" ht="18.75">
      <c r="C67" s="7" t="s">
        <v>30</v>
      </c>
      <c r="D67" s="9" t="s">
        <v>6</v>
      </c>
      <c r="E67" s="9">
        <v>360.4</v>
      </c>
      <c r="F67" s="5">
        <f>E67*F68/100</f>
        <v>370.74348</v>
      </c>
      <c r="G67" s="5">
        <f aca="true" t="shared" si="8" ref="G67:L67">F67*G68/100</f>
        <v>389.28065399999997</v>
      </c>
      <c r="H67" s="5">
        <f t="shared" si="8"/>
        <v>397.06626708</v>
      </c>
      <c r="I67" s="5">
        <f t="shared" si="8"/>
        <v>405.40465868868</v>
      </c>
      <c r="J67" s="5">
        <f t="shared" si="8"/>
        <v>415.539775155897</v>
      </c>
      <c r="K67" s="5">
        <f t="shared" si="8"/>
        <v>426.3438093099503</v>
      </c>
      <c r="L67" s="5">
        <f t="shared" si="8"/>
        <v>436.57606073338917</v>
      </c>
      <c r="M67" s="5">
        <f aca="true" t="shared" si="9" ref="M67:S67">L67*M68/100</f>
        <v>447.4904622517239</v>
      </c>
      <c r="N67" s="5">
        <f t="shared" si="9"/>
        <v>458.67772380801694</v>
      </c>
      <c r="O67" s="5">
        <f t="shared" si="9"/>
        <v>470.60334462702536</v>
      </c>
      <c r="P67" s="5">
        <f t="shared" si="9"/>
        <v>482.839031587328</v>
      </c>
      <c r="Q67" s="5">
        <f t="shared" si="9"/>
        <v>495.87568544018586</v>
      </c>
      <c r="R67" s="5">
        <f t="shared" si="9"/>
        <v>509.2643289470709</v>
      </c>
      <c r="S67" s="5">
        <f t="shared" si="9"/>
        <v>523.5237301575888</v>
      </c>
      <c r="T67" s="20"/>
    </row>
    <row r="68" spans="3:20" ht="37.5">
      <c r="C68" s="7" t="s">
        <v>195</v>
      </c>
      <c r="D68" s="4" t="s">
        <v>194</v>
      </c>
      <c r="E68" s="9">
        <v>105.9</v>
      </c>
      <c r="F68" s="5">
        <v>102.87</v>
      </c>
      <c r="G68" s="5">
        <v>105</v>
      </c>
      <c r="H68" s="5">
        <v>102</v>
      </c>
      <c r="I68" s="5">
        <v>102.1</v>
      </c>
      <c r="J68" s="5">
        <v>102.5</v>
      </c>
      <c r="K68" s="5">
        <v>102.6</v>
      </c>
      <c r="L68" s="5">
        <v>102.4</v>
      </c>
      <c r="M68" s="5">
        <v>102.5</v>
      </c>
      <c r="N68" s="5">
        <v>102.5</v>
      </c>
      <c r="O68" s="5">
        <v>102.6</v>
      </c>
      <c r="P68" s="5">
        <v>102.6</v>
      </c>
      <c r="Q68" s="31">
        <v>102.7</v>
      </c>
      <c r="R68" s="31">
        <v>102.7</v>
      </c>
      <c r="S68" s="32">
        <v>102.8</v>
      </c>
      <c r="T68" s="20"/>
    </row>
    <row r="69" spans="3:20" ht="18.75">
      <c r="C69" s="6" t="s">
        <v>37</v>
      </c>
      <c r="D69" s="4" t="s">
        <v>194</v>
      </c>
      <c r="E69" s="4">
        <v>105.2</v>
      </c>
      <c r="F69" s="5">
        <v>102.6</v>
      </c>
      <c r="G69" s="5">
        <v>102.2</v>
      </c>
      <c r="H69" s="5">
        <v>104.2</v>
      </c>
      <c r="I69" s="5">
        <v>104.2</v>
      </c>
      <c r="J69" s="5">
        <v>103.5</v>
      </c>
      <c r="K69" s="5">
        <v>103.4</v>
      </c>
      <c r="L69" s="5">
        <v>104</v>
      </c>
      <c r="M69" s="5">
        <v>103.9</v>
      </c>
      <c r="N69" s="5">
        <v>103.9</v>
      </c>
      <c r="O69" s="5">
        <v>103.9</v>
      </c>
      <c r="P69" s="5">
        <v>104</v>
      </c>
      <c r="Q69" s="33">
        <v>104</v>
      </c>
      <c r="R69" s="33">
        <v>104</v>
      </c>
      <c r="S69" s="34">
        <v>104</v>
      </c>
      <c r="T69" s="20"/>
    </row>
    <row r="70" spans="3:20" ht="18.75">
      <c r="C70" s="7" t="s">
        <v>31</v>
      </c>
      <c r="D70" s="9" t="s">
        <v>6</v>
      </c>
      <c r="E70" s="9">
        <v>132.3</v>
      </c>
      <c r="F70" s="11">
        <f>E70*F71/100</f>
        <v>132.0354</v>
      </c>
      <c r="G70" s="11">
        <f aca="true" t="shared" si="10" ref="G70:L70">F70*G71/100</f>
        <v>131.7713292</v>
      </c>
      <c r="H70" s="11">
        <f t="shared" si="10"/>
        <v>132.0348718584</v>
      </c>
      <c r="I70" s="11">
        <f t="shared" si="10"/>
        <v>132.2989416021168</v>
      </c>
      <c r="J70" s="11">
        <f t="shared" si="10"/>
        <v>132.8281373685253</v>
      </c>
      <c r="K70" s="11">
        <f t="shared" si="10"/>
        <v>133.4922780553679</v>
      </c>
      <c r="L70" s="11">
        <f t="shared" si="10"/>
        <v>134.0262471675894</v>
      </c>
      <c r="M70" s="11">
        <f aca="true" t="shared" si="11" ref="M70:S70">L70*M71/100</f>
        <v>134.69637840342733</v>
      </c>
      <c r="N70" s="11">
        <f t="shared" si="11"/>
        <v>135.5045566738479</v>
      </c>
      <c r="O70" s="11">
        <f t="shared" si="11"/>
        <v>136.45308857056483</v>
      </c>
      <c r="P70" s="11">
        <f t="shared" si="11"/>
        <v>137.4082601905588</v>
      </c>
      <c r="Q70" s="11">
        <f t="shared" si="11"/>
        <v>138.50752627208325</v>
      </c>
      <c r="R70" s="11">
        <f t="shared" si="11"/>
        <v>139.6155864822599</v>
      </c>
      <c r="S70" s="11">
        <f t="shared" si="11"/>
        <v>140.87212676060025</v>
      </c>
      <c r="T70" s="20"/>
    </row>
    <row r="71" spans="3:20" ht="37.5">
      <c r="C71" s="7" t="s">
        <v>196</v>
      </c>
      <c r="D71" s="4" t="s">
        <v>194</v>
      </c>
      <c r="E71" s="4">
        <v>97</v>
      </c>
      <c r="F71" s="5">
        <v>99.8</v>
      </c>
      <c r="G71" s="5">
        <v>99.8</v>
      </c>
      <c r="H71" s="5">
        <v>100.2</v>
      </c>
      <c r="I71" s="5">
        <v>100.2</v>
      </c>
      <c r="J71" s="5">
        <v>100.4</v>
      </c>
      <c r="K71" s="5">
        <v>100.5</v>
      </c>
      <c r="L71" s="5">
        <v>100.4</v>
      </c>
      <c r="M71" s="5">
        <v>100.5</v>
      </c>
      <c r="N71" s="5">
        <v>100.6</v>
      </c>
      <c r="O71" s="5">
        <v>100.7</v>
      </c>
      <c r="P71" s="5">
        <v>100.7</v>
      </c>
      <c r="Q71" s="31">
        <v>100.8</v>
      </c>
      <c r="R71" s="31">
        <v>100.8</v>
      </c>
      <c r="S71" s="32">
        <v>100.9</v>
      </c>
      <c r="T71" s="20"/>
    </row>
    <row r="72" spans="3:20" ht="18.75">
      <c r="C72" s="6" t="s">
        <v>37</v>
      </c>
      <c r="D72" s="4" t="s">
        <v>194</v>
      </c>
      <c r="E72" s="4">
        <v>102.2</v>
      </c>
      <c r="F72" s="5">
        <v>104.5</v>
      </c>
      <c r="G72" s="5">
        <v>103.9</v>
      </c>
      <c r="H72" s="5">
        <v>104.8</v>
      </c>
      <c r="I72" s="5">
        <v>104.7</v>
      </c>
      <c r="J72" s="5">
        <v>104.2</v>
      </c>
      <c r="K72" s="5">
        <v>104.2</v>
      </c>
      <c r="L72" s="5">
        <v>104.3</v>
      </c>
      <c r="M72" s="5">
        <v>104.3</v>
      </c>
      <c r="N72" s="5">
        <v>104.3</v>
      </c>
      <c r="O72" s="5">
        <v>104.3</v>
      </c>
      <c r="P72" s="5">
        <v>104.2</v>
      </c>
      <c r="Q72" s="31">
        <v>104.2</v>
      </c>
      <c r="R72" s="31">
        <v>104.1</v>
      </c>
      <c r="S72" s="32">
        <v>104.1</v>
      </c>
      <c r="T72" s="20"/>
    </row>
    <row r="73" spans="3:20" ht="18.75">
      <c r="C73" s="6" t="s">
        <v>216</v>
      </c>
      <c r="D73" s="4" t="s">
        <v>58</v>
      </c>
      <c r="E73" s="4">
        <v>25.51</v>
      </c>
      <c r="F73" s="5">
        <f>E73*F74/100</f>
        <v>19.106990000000003</v>
      </c>
      <c r="G73" s="5">
        <f>F73*G74*G75/10000</f>
        <v>19.62337551174</v>
      </c>
      <c r="H73" s="5">
        <f>G73*H74*H75/10000</f>
        <v>20.54979506964925</v>
      </c>
      <c r="I73" s="5">
        <f>G73*I74*I75/10000</f>
        <v>20.57024262693248</v>
      </c>
      <c r="J73" s="5">
        <f>I73*J74*J75/10000</f>
        <v>21.609554135658243</v>
      </c>
      <c r="K73" s="5">
        <f>I73*K74*K75/10000</f>
        <v>21.626960674969155</v>
      </c>
      <c r="L73" s="5">
        <f>K73*L74*L75/10000</f>
        <v>22.829419688497442</v>
      </c>
      <c r="M73" s="5">
        <f aca="true" t="shared" si="12" ref="M73:S73">K73*M74*M75/10000</f>
        <v>22.84117394162429</v>
      </c>
      <c r="N73" s="5">
        <f t="shared" si="12"/>
        <v>24.075563562194077</v>
      </c>
      <c r="O73" s="5">
        <f t="shared" si="12"/>
        <v>24.1116914009532</v>
      </c>
      <c r="P73" s="5">
        <f t="shared" si="12"/>
        <v>25.414164896252068</v>
      </c>
      <c r="Q73" s="29">
        <f t="shared" si="12"/>
        <v>25.47737760190319</v>
      </c>
      <c r="R73" s="29">
        <f t="shared" si="12"/>
        <v>26.82719246448368</v>
      </c>
      <c r="S73" s="30">
        <f t="shared" si="12"/>
        <v>26.92041626927498</v>
      </c>
      <c r="T73" s="20"/>
    </row>
    <row r="74" spans="3:20" ht="37.5">
      <c r="C74" s="6" t="s">
        <v>217</v>
      </c>
      <c r="D74" s="4" t="s">
        <v>194</v>
      </c>
      <c r="E74" s="4">
        <v>95.1</v>
      </c>
      <c r="F74" s="5">
        <v>74.9</v>
      </c>
      <c r="G74" s="5">
        <v>100.1</v>
      </c>
      <c r="H74" s="5">
        <v>100.5</v>
      </c>
      <c r="I74" s="5">
        <v>100.6</v>
      </c>
      <c r="J74" s="5">
        <v>101.5</v>
      </c>
      <c r="K74" s="5">
        <v>101.68</v>
      </c>
      <c r="L74" s="5">
        <v>101.5</v>
      </c>
      <c r="M74" s="5">
        <v>101.65</v>
      </c>
      <c r="N74" s="5">
        <v>101.5</v>
      </c>
      <c r="O74" s="5">
        <v>101.6</v>
      </c>
      <c r="P74" s="5">
        <v>101.5</v>
      </c>
      <c r="Q74" s="31">
        <v>101.6</v>
      </c>
      <c r="R74" s="31">
        <v>101.5</v>
      </c>
      <c r="S74" s="32">
        <v>101.6</v>
      </c>
      <c r="T74" s="20"/>
    </row>
    <row r="75" spans="3:20" ht="56.25">
      <c r="C75" s="6" t="s">
        <v>218</v>
      </c>
      <c r="D75" s="4" t="s">
        <v>194</v>
      </c>
      <c r="E75" s="4">
        <v>104.5</v>
      </c>
      <c r="F75" s="5">
        <v>102.5</v>
      </c>
      <c r="G75" s="5">
        <v>102.6</v>
      </c>
      <c r="H75" s="5">
        <v>104.2</v>
      </c>
      <c r="I75" s="5">
        <v>104.2</v>
      </c>
      <c r="J75" s="5">
        <v>103.5</v>
      </c>
      <c r="K75" s="5">
        <v>103.4</v>
      </c>
      <c r="L75" s="5">
        <v>104</v>
      </c>
      <c r="M75" s="5">
        <v>103.9</v>
      </c>
      <c r="N75" s="5">
        <v>103.9</v>
      </c>
      <c r="O75" s="5">
        <v>103.9</v>
      </c>
      <c r="P75" s="5">
        <v>104</v>
      </c>
      <c r="Q75" s="35">
        <v>104</v>
      </c>
      <c r="R75" s="35">
        <v>104</v>
      </c>
      <c r="S75" s="36">
        <v>104</v>
      </c>
      <c r="T75" s="20"/>
    </row>
    <row r="76" spans="3:20" ht="56.25">
      <c r="C76" s="3" t="s">
        <v>204</v>
      </c>
      <c r="D76" s="4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8"/>
      <c r="R76" s="18"/>
      <c r="S76" s="19"/>
      <c r="T76" s="20"/>
    </row>
    <row r="77" spans="3:20" ht="56.25">
      <c r="C77" s="22" t="s">
        <v>188</v>
      </c>
      <c r="D77" s="4" t="s">
        <v>32</v>
      </c>
      <c r="E77" s="4">
        <v>55</v>
      </c>
      <c r="F77" s="5">
        <v>54</v>
      </c>
      <c r="G77" s="5">
        <v>54</v>
      </c>
      <c r="H77" s="5">
        <v>54</v>
      </c>
      <c r="I77" s="5">
        <v>55</v>
      </c>
      <c r="J77" s="5">
        <v>55</v>
      </c>
      <c r="K77" s="5">
        <v>57</v>
      </c>
      <c r="L77" s="5">
        <v>56</v>
      </c>
      <c r="M77" s="5">
        <v>59</v>
      </c>
      <c r="N77" s="5">
        <v>57</v>
      </c>
      <c r="O77" s="5">
        <v>61</v>
      </c>
      <c r="P77" s="5">
        <v>58</v>
      </c>
      <c r="Q77" s="43">
        <v>63</v>
      </c>
      <c r="R77" s="43">
        <v>59</v>
      </c>
      <c r="S77" s="44">
        <v>65</v>
      </c>
      <c r="T77" s="20"/>
    </row>
    <row r="78" spans="3:20" ht="18.75">
      <c r="C78" s="22"/>
      <c r="D78" s="4" t="s">
        <v>98</v>
      </c>
      <c r="E78" s="4">
        <v>87.3</v>
      </c>
      <c r="F78" s="50">
        <f aca="true" t="shared" si="13" ref="F78:S78">F77/E77*100</f>
        <v>98.18181818181819</v>
      </c>
      <c r="G78" s="50">
        <f t="shared" si="13"/>
        <v>100</v>
      </c>
      <c r="H78" s="50">
        <f t="shared" si="13"/>
        <v>100</v>
      </c>
      <c r="I78" s="50">
        <f t="shared" si="13"/>
        <v>101.85185185185186</v>
      </c>
      <c r="J78" s="50">
        <f t="shared" si="13"/>
        <v>100</v>
      </c>
      <c r="K78" s="50">
        <f t="shared" si="13"/>
        <v>103.63636363636364</v>
      </c>
      <c r="L78" s="50">
        <f t="shared" si="13"/>
        <v>98.24561403508771</v>
      </c>
      <c r="M78" s="50">
        <f t="shared" si="13"/>
        <v>105.35714285714286</v>
      </c>
      <c r="N78" s="50">
        <f t="shared" si="13"/>
        <v>96.61016949152543</v>
      </c>
      <c r="O78" s="50">
        <f t="shared" si="13"/>
        <v>107.01754385964912</v>
      </c>
      <c r="P78" s="50">
        <f t="shared" si="13"/>
        <v>95.08196721311475</v>
      </c>
      <c r="Q78" s="50">
        <f t="shared" si="13"/>
        <v>108.62068965517241</v>
      </c>
      <c r="R78" s="50">
        <f t="shared" si="13"/>
        <v>93.65079365079364</v>
      </c>
      <c r="S78" s="50">
        <f t="shared" si="13"/>
        <v>110.16949152542372</v>
      </c>
      <c r="T78" s="20"/>
    </row>
    <row r="79" spans="3:20" ht="37.5">
      <c r="C79" s="22" t="s">
        <v>33</v>
      </c>
      <c r="D79" s="4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3"/>
      <c r="R79" s="43"/>
      <c r="S79" s="44"/>
      <c r="T79" s="20"/>
    </row>
    <row r="80" spans="3:20" ht="56.25">
      <c r="C80" s="22" t="s">
        <v>164</v>
      </c>
      <c r="D80" s="4" t="s">
        <v>32</v>
      </c>
      <c r="E80" s="4">
        <v>22</v>
      </c>
      <c r="F80" s="5">
        <v>22</v>
      </c>
      <c r="G80" s="5">
        <v>21</v>
      </c>
      <c r="H80" s="5">
        <v>21</v>
      </c>
      <c r="I80" s="5">
        <v>22</v>
      </c>
      <c r="J80" s="5">
        <v>22</v>
      </c>
      <c r="K80" s="5">
        <v>23</v>
      </c>
      <c r="L80" s="5">
        <v>22</v>
      </c>
      <c r="M80" s="5">
        <v>23</v>
      </c>
      <c r="N80" s="5">
        <v>23</v>
      </c>
      <c r="O80" s="5">
        <v>24</v>
      </c>
      <c r="P80" s="5">
        <v>24</v>
      </c>
      <c r="Q80" s="35">
        <v>24</v>
      </c>
      <c r="R80" s="5">
        <v>23</v>
      </c>
      <c r="S80" s="36">
        <v>24</v>
      </c>
      <c r="T80" s="20"/>
    </row>
    <row r="81" spans="3:20" ht="37.5">
      <c r="C81" s="22" t="s">
        <v>165</v>
      </c>
      <c r="D81" s="4" t="s">
        <v>32</v>
      </c>
      <c r="E81" s="4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35">
        <v>0</v>
      </c>
      <c r="R81" s="5">
        <v>0</v>
      </c>
      <c r="S81" s="36">
        <v>0</v>
      </c>
      <c r="T81" s="20"/>
    </row>
    <row r="82" spans="3:20" ht="37.5">
      <c r="C82" s="22" t="s">
        <v>166</v>
      </c>
      <c r="D82" s="8" t="s">
        <v>32</v>
      </c>
      <c r="E82" s="8">
        <v>4</v>
      </c>
      <c r="F82" s="5">
        <v>4</v>
      </c>
      <c r="G82" s="5">
        <v>4</v>
      </c>
      <c r="H82" s="5">
        <v>4</v>
      </c>
      <c r="I82" s="5">
        <v>4</v>
      </c>
      <c r="J82" s="5">
        <v>4</v>
      </c>
      <c r="K82" s="5">
        <v>4</v>
      </c>
      <c r="L82" s="5">
        <v>4</v>
      </c>
      <c r="M82" s="5">
        <v>5</v>
      </c>
      <c r="N82" s="5">
        <v>4</v>
      </c>
      <c r="O82" s="5">
        <v>5</v>
      </c>
      <c r="P82" s="5">
        <v>4</v>
      </c>
      <c r="Q82" s="35">
        <v>5</v>
      </c>
      <c r="R82" s="5">
        <v>5</v>
      </c>
      <c r="S82" s="36">
        <v>5</v>
      </c>
      <c r="T82" s="20"/>
    </row>
    <row r="83" spans="3:20" ht="56.25">
      <c r="C83" s="6" t="s">
        <v>167</v>
      </c>
      <c r="D83" s="4" t="s">
        <v>32</v>
      </c>
      <c r="E83" s="4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35">
        <v>0</v>
      </c>
      <c r="R83" s="5">
        <v>0</v>
      </c>
      <c r="S83" s="36">
        <v>0</v>
      </c>
      <c r="T83" s="20"/>
    </row>
    <row r="84" spans="3:20" ht="93.75">
      <c r="C84" s="6" t="s">
        <v>168</v>
      </c>
      <c r="D84" s="4" t="s">
        <v>32</v>
      </c>
      <c r="E84" s="4">
        <v>1</v>
      </c>
      <c r="F84" s="5">
        <v>1</v>
      </c>
      <c r="G84" s="5">
        <v>2</v>
      </c>
      <c r="H84" s="5">
        <v>2</v>
      </c>
      <c r="I84" s="5">
        <v>2</v>
      </c>
      <c r="J84" s="5">
        <v>2</v>
      </c>
      <c r="K84" s="5">
        <v>2</v>
      </c>
      <c r="L84" s="5">
        <v>2</v>
      </c>
      <c r="M84" s="5">
        <v>2</v>
      </c>
      <c r="N84" s="5">
        <v>2</v>
      </c>
      <c r="O84" s="5">
        <v>2</v>
      </c>
      <c r="P84" s="5">
        <v>2</v>
      </c>
      <c r="Q84" s="35">
        <v>3</v>
      </c>
      <c r="R84" s="5">
        <v>2</v>
      </c>
      <c r="S84" s="36">
        <v>3</v>
      </c>
      <c r="T84" s="20"/>
    </row>
    <row r="85" spans="3:20" ht="37.5">
      <c r="C85" s="6" t="s">
        <v>169</v>
      </c>
      <c r="D85" s="8" t="s">
        <v>32</v>
      </c>
      <c r="E85" s="8">
        <v>5</v>
      </c>
      <c r="F85" s="5">
        <v>4</v>
      </c>
      <c r="G85" s="5">
        <v>4</v>
      </c>
      <c r="H85" s="5">
        <v>4</v>
      </c>
      <c r="I85" s="5">
        <v>4</v>
      </c>
      <c r="J85" s="5">
        <v>4</v>
      </c>
      <c r="K85" s="5">
        <v>4</v>
      </c>
      <c r="L85" s="5">
        <v>4</v>
      </c>
      <c r="M85" s="5">
        <v>4</v>
      </c>
      <c r="N85" s="5">
        <v>4</v>
      </c>
      <c r="O85" s="5">
        <v>4</v>
      </c>
      <c r="P85" s="5">
        <v>4</v>
      </c>
      <c r="Q85" s="35">
        <v>4</v>
      </c>
      <c r="R85" s="5">
        <v>4</v>
      </c>
      <c r="S85" s="36">
        <v>5</v>
      </c>
      <c r="T85" s="20"/>
    </row>
    <row r="86" spans="3:20" ht="75">
      <c r="C86" s="6" t="s">
        <v>170</v>
      </c>
      <c r="D86" s="8" t="s">
        <v>32</v>
      </c>
      <c r="E86" s="8">
        <v>9</v>
      </c>
      <c r="F86" s="5">
        <v>12</v>
      </c>
      <c r="G86" s="5">
        <v>12</v>
      </c>
      <c r="H86" s="5">
        <v>12</v>
      </c>
      <c r="I86" s="5">
        <v>12</v>
      </c>
      <c r="J86" s="5">
        <v>12</v>
      </c>
      <c r="K86" s="5">
        <v>12</v>
      </c>
      <c r="L86" s="5">
        <v>12</v>
      </c>
      <c r="M86" s="5">
        <v>13</v>
      </c>
      <c r="N86" s="5">
        <v>12</v>
      </c>
      <c r="O86" s="5">
        <v>13</v>
      </c>
      <c r="P86" s="5">
        <v>12</v>
      </c>
      <c r="Q86" s="35">
        <v>13</v>
      </c>
      <c r="R86" s="5">
        <v>13</v>
      </c>
      <c r="S86" s="36">
        <v>13</v>
      </c>
      <c r="T86" s="20"/>
    </row>
    <row r="87" spans="3:20" ht="37.5">
      <c r="C87" s="22" t="s">
        <v>171</v>
      </c>
      <c r="D87" s="8" t="s">
        <v>32</v>
      </c>
      <c r="E87" s="8">
        <v>3</v>
      </c>
      <c r="F87" s="5">
        <v>2</v>
      </c>
      <c r="G87" s="5">
        <v>2</v>
      </c>
      <c r="H87" s="5">
        <v>2</v>
      </c>
      <c r="I87" s="5">
        <v>2</v>
      </c>
      <c r="J87" s="5">
        <v>2</v>
      </c>
      <c r="K87" s="5">
        <v>2</v>
      </c>
      <c r="L87" s="5">
        <v>2</v>
      </c>
      <c r="M87" s="5">
        <v>2</v>
      </c>
      <c r="N87" s="5">
        <v>2</v>
      </c>
      <c r="O87" s="5">
        <v>3</v>
      </c>
      <c r="P87" s="5">
        <v>2</v>
      </c>
      <c r="Q87" s="35">
        <v>3</v>
      </c>
      <c r="R87" s="5">
        <v>2</v>
      </c>
      <c r="S87" s="36">
        <v>3</v>
      </c>
      <c r="T87" s="20"/>
    </row>
    <row r="88" spans="3:20" ht="56.25">
      <c r="C88" s="22" t="s">
        <v>172</v>
      </c>
      <c r="D88" s="8" t="s">
        <v>32</v>
      </c>
      <c r="E88" s="8">
        <v>1</v>
      </c>
      <c r="F88" s="5">
        <v>1</v>
      </c>
      <c r="G88" s="5">
        <v>1</v>
      </c>
      <c r="H88" s="5">
        <v>1</v>
      </c>
      <c r="I88" s="5">
        <v>1</v>
      </c>
      <c r="J88" s="5">
        <v>1</v>
      </c>
      <c r="K88" s="5">
        <v>1</v>
      </c>
      <c r="L88" s="5">
        <v>1</v>
      </c>
      <c r="M88" s="5">
        <v>1</v>
      </c>
      <c r="N88" s="5">
        <v>1</v>
      </c>
      <c r="O88" s="5">
        <v>1</v>
      </c>
      <c r="P88" s="5">
        <v>1</v>
      </c>
      <c r="Q88" s="33">
        <v>1</v>
      </c>
      <c r="R88" s="5">
        <v>1</v>
      </c>
      <c r="S88" s="34">
        <v>1</v>
      </c>
      <c r="T88" s="20"/>
    </row>
    <row r="89" spans="3:20" ht="56.25">
      <c r="C89" s="6" t="s">
        <v>173</v>
      </c>
      <c r="D89" s="8" t="s">
        <v>32</v>
      </c>
      <c r="E89" s="8">
        <v>3</v>
      </c>
      <c r="F89" s="5">
        <v>3</v>
      </c>
      <c r="G89" s="5">
        <v>3</v>
      </c>
      <c r="H89" s="5">
        <v>3</v>
      </c>
      <c r="I89" s="5">
        <v>3</v>
      </c>
      <c r="J89" s="5">
        <v>3</v>
      </c>
      <c r="K89" s="5">
        <v>3</v>
      </c>
      <c r="L89" s="5">
        <v>3</v>
      </c>
      <c r="M89" s="5">
        <v>3</v>
      </c>
      <c r="N89" s="5">
        <v>3</v>
      </c>
      <c r="O89" s="5">
        <v>3</v>
      </c>
      <c r="P89" s="5">
        <v>3</v>
      </c>
      <c r="Q89" s="33">
        <v>3</v>
      </c>
      <c r="R89" s="5">
        <v>3</v>
      </c>
      <c r="S89" s="34">
        <v>4</v>
      </c>
      <c r="T89" s="20"/>
    </row>
    <row r="90" spans="3:20" ht="18.75">
      <c r="C90" s="6" t="s">
        <v>174</v>
      </c>
      <c r="D90" s="8" t="s">
        <v>32</v>
      </c>
      <c r="E90" s="8">
        <v>7</v>
      </c>
      <c r="F90" s="5">
        <v>5</v>
      </c>
      <c r="G90" s="5">
        <v>5</v>
      </c>
      <c r="H90" s="5">
        <v>5</v>
      </c>
      <c r="I90" s="5">
        <v>5</v>
      </c>
      <c r="J90" s="5">
        <v>5</v>
      </c>
      <c r="K90" s="5">
        <v>6</v>
      </c>
      <c r="L90" s="5">
        <v>6</v>
      </c>
      <c r="M90" s="5">
        <v>6</v>
      </c>
      <c r="N90" s="5">
        <v>6</v>
      </c>
      <c r="O90" s="5">
        <v>6</v>
      </c>
      <c r="P90" s="5">
        <v>6</v>
      </c>
      <c r="Q90" s="33">
        <v>7</v>
      </c>
      <c r="R90" s="5">
        <v>6</v>
      </c>
      <c r="S90" s="34">
        <v>7</v>
      </c>
      <c r="T90" s="20"/>
    </row>
    <row r="91" spans="3:20" ht="63.75" customHeight="1">
      <c r="C91" s="6" t="s">
        <v>175</v>
      </c>
      <c r="D91" s="8" t="s">
        <v>79</v>
      </c>
      <c r="E91" s="8">
        <v>292</v>
      </c>
      <c r="F91" s="5">
        <v>318</v>
      </c>
      <c r="G91" s="5">
        <v>316</v>
      </c>
      <c r="H91" s="5">
        <v>317</v>
      </c>
      <c r="I91" s="5">
        <v>320</v>
      </c>
      <c r="J91" s="5">
        <v>318</v>
      </c>
      <c r="K91" s="5">
        <v>330</v>
      </c>
      <c r="L91" s="5">
        <v>320</v>
      </c>
      <c r="M91" s="5">
        <v>340</v>
      </c>
      <c r="N91" s="5">
        <v>322</v>
      </c>
      <c r="O91" s="5">
        <v>346</v>
      </c>
      <c r="P91" s="5">
        <v>325</v>
      </c>
      <c r="Q91" s="37">
        <v>353</v>
      </c>
      <c r="R91" s="37">
        <v>334</v>
      </c>
      <c r="S91" s="38">
        <v>365</v>
      </c>
      <c r="T91" s="20"/>
    </row>
    <row r="92" spans="3:20" ht="18.75">
      <c r="C92" s="6"/>
      <c r="D92" s="4" t="s">
        <v>98</v>
      </c>
      <c r="E92" s="8">
        <v>105.8</v>
      </c>
      <c r="F92" s="5">
        <f>F91/E91*100</f>
        <v>108.90410958904108</v>
      </c>
      <c r="G92" s="5">
        <f>G91/F91*100</f>
        <v>99.37106918238993</v>
      </c>
      <c r="H92" s="50">
        <f>H91/G91*100</f>
        <v>100.31645569620254</v>
      </c>
      <c r="I92" s="50">
        <f>I91/H91*100</f>
        <v>100.94637223974763</v>
      </c>
      <c r="J92" s="50">
        <f aca="true" t="shared" si="14" ref="J92:S92">J91/H91*100</f>
        <v>100.3154574132492</v>
      </c>
      <c r="K92" s="50">
        <f t="shared" si="14"/>
        <v>103.125</v>
      </c>
      <c r="L92" s="50">
        <f t="shared" si="14"/>
        <v>100.62893081761007</v>
      </c>
      <c r="M92" s="50">
        <f t="shared" si="14"/>
        <v>103.03030303030303</v>
      </c>
      <c r="N92" s="50">
        <f t="shared" si="14"/>
        <v>100.62500000000001</v>
      </c>
      <c r="O92" s="50">
        <f t="shared" si="14"/>
        <v>101.76470588235293</v>
      </c>
      <c r="P92" s="50">
        <f t="shared" si="14"/>
        <v>100.93167701863355</v>
      </c>
      <c r="Q92" s="77">
        <f t="shared" si="14"/>
        <v>102.02312138728324</v>
      </c>
      <c r="R92" s="77">
        <f t="shared" si="14"/>
        <v>102.76923076923077</v>
      </c>
      <c r="S92" s="78">
        <f t="shared" si="14"/>
        <v>103.39943342776203</v>
      </c>
      <c r="T92" s="20"/>
    </row>
    <row r="93" spans="3:20" ht="37.5">
      <c r="C93" s="22" t="s">
        <v>33</v>
      </c>
      <c r="D93" s="12"/>
      <c r="E93" s="1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7"/>
      <c r="R93" s="27"/>
      <c r="S93" s="28"/>
      <c r="T93" s="20"/>
    </row>
    <row r="94" spans="3:20" ht="39.75" customHeight="1">
      <c r="C94" s="22" t="s">
        <v>164</v>
      </c>
      <c r="D94" s="8" t="s">
        <v>79</v>
      </c>
      <c r="E94" s="57">
        <v>83</v>
      </c>
      <c r="F94" s="5">
        <v>100</v>
      </c>
      <c r="G94" s="5">
        <v>93</v>
      </c>
      <c r="H94" s="5">
        <v>93</v>
      </c>
      <c r="I94" s="5">
        <v>95</v>
      </c>
      <c r="J94" s="5">
        <v>94</v>
      </c>
      <c r="K94" s="5">
        <v>97</v>
      </c>
      <c r="L94" s="5">
        <v>95</v>
      </c>
      <c r="M94" s="5">
        <v>100</v>
      </c>
      <c r="N94" s="5">
        <v>95</v>
      </c>
      <c r="O94" s="5">
        <v>101</v>
      </c>
      <c r="P94" s="5">
        <v>96</v>
      </c>
      <c r="Q94" s="37">
        <v>102</v>
      </c>
      <c r="R94" s="37">
        <v>97</v>
      </c>
      <c r="S94" s="38">
        <v>105</v>
      </c>
      <c r="T94" s="20"/>
    </row>
    <row r="95" spans="3:20" ht="37.5">
      <c r="C95" s="22" t="s">
        <v>165</v>
      </c>
      <c r="D95" s="8" t="s">
        <v>79</v>
      </c>
      <c r="E95" s="4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35">
        <v>0</v>
      </c>
      <c r="R95" s="5">
        <v>0</v>
      </c>
      <c r="S95" s="36">
        <v>0</v>
      </c>
      <c r="T95" s="20"/>
    </row>
    <row r="96" spans="3:20" ht="37.5">
      <c r="C96" s="22" t="s">
        <v>166</v>
      </c>
      <c r="D96" s="8" t="s">
        <v>79</v>
      </c>
      <c r="E96" s="4">
        <v>53</v>
      </c>
      <c r="F96" s="5">
        <v>52</v>
      </c>
      <c r="G96" s="5">
        <v>54</v>
      </c>
      <c r="H96" s="5">
        <v>55</v>
      </c>
      <c r="I96" s="5">
        <v>56</v>
      </c>
      <c r="J96" s="5">
        <v>55</v>
      </c>
      <c r="K96" s="5">
        <v>57</v>
      </c>
      <c r="L96" s="5">
        <v>56</v>
      </c>
      <c r="M96" s="5">
        <v>58</v>
      </c>
      <c r="N96" s="5">
        <v>56</v>
      </c>
      <c r="O96" s="5">
        <v>59</v>
      </c>
      <c r="P96" s="5">
        <v>57</v>
      </c>
      <c r="Q96" s="37">
        <v>60</v>
      </c>
      <c r="R96" s="37">
        <v>58</v>
      </c>
      <c r="S96" s="38">
        <v>62</v>
      </c>
      <c r="T96" s="20"/>
    </row>
    <row r="97" spans="3:20" ht="40.5" customHeight="1">
      <c r="C97" s="6" t="s">
        <v>167</v>
      </c>
      <c r="D97" s="8" t="s">
        <v>79</v>
      </c>
      <c r="E97" s="4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37">
        <v>0</v>
      </c>
      <c r="R97" s="37">
        <v>0</v>
      </c>
      <c r="S97" s="38">
        <v>0</v>
      </c>
      <c r="T97" s="20"/>
    </row>
    <row r="98" spans="3:20" ht="93.75">
      <c r="C98" s="6" t="s">
        <v>168</v>
      </c>
      <c r="D98" s="8" t="s">
        <v>79</v>
      </c>
      <c r="E98" s="4">
        <v>14</v>
      </c>
      <c r="F98" s="5">
        <v>10</v>
      </c>
      <c r="G98" s="5">
        <v>23</v>
      </c>
      <c r="H98" s="5">
        <v>23</v>
      </c>
      <c r="I98" s="5">
        <v>23</v>
      </c>
      <c r="J98" s="5">
        <v>23</v>
      </c>
      <c r="K98" s="5">
        <v>24</v>
      </c>
      <c r="L98" s="5">
        <v>23</v>
      </c>
      <c r="M98" s="5">
        <v>25</v>
      </c>
      <c r="N98" s="5">
        <v>23</v>
      </c>
      <c r="O98" s="5">
        <v>26</v>
      </c>
      <c r="P98" s="5">
        <v>23</v>
      </c>
      <c r="Q98" s="37">
        <v>26</v>
      </c>
      <c r="R98" s="37">
        <v>24</v>
      </c>
      <c r="S98" s="38">
        <v>27</v>
      </c>
      <c r="T98" s="20"/>
    </row>
    <row r="99" spans="3:20" ht="37.5">
      <c r="C99" s="6" t="s">
        <v>169</v>
      </c>
      <c r="D99" s="8" t="s">
        <v>79</v>
      </c>
      <c r="E99" s="4">
        <v>22</v>
      </c>
      <c r="F99" s="5">
        <v>22</v>
      </c>
      <c r="G99" s="5">
        <v>20</v>
      </c>
      <c r="H99" s="5">
        <v>20</v>
      </c>
      <c r="I99" s="5">
        <v>20</v>
      </c>
      <c r="J99" s="5">
        <v>20</v>
      </c>
      <c r="K99" s="5">
        <v>21</v>
      </c>
      <c r="L99" s="5">
        <v>20</v>
      </c>
      <c r="M99" s="5">
        <v>22</v>
      </c>
      <c r="N99" s="5">
        <v>20</v>
      </c>
      <c r="O99" s="5">
        <v>22</v>
      </c>
      <c r="P99" s="5">
        <v>20</v>
      </c>
      <c r="Q99" s="37">
        <v>23</v>
      </c>
      <c r="R99" s="37">
        <v>21</v>
      </c>
      <c r="S99" s="38">
        <v>24</v>
      </c>
      <c r="T99" s="20"/>
    </row>
    <row r="100" spans="3:20" ht="75">
      <c r="C100" s="6" t="s">
        <v>170</v>
      </c>
      <c r="D100" s="8" t="s">
        <v>79</v>
      </c>
      <c r="E100" s="4">
        <v>87</v>
      </c>
      <c r="F100" s="5">
        <v>87</v>
      </c>
      <c r="G100" s="5">
        <v>87</v>
      </c>
      <c r="H100" s="5">
        <v>87</v>
      </c>
      <c r="I100" s="5">
        <v>87</v>
      </c>
      <c r="J100" s="5">
        <v>87</v>
      </c>
      <c r="K100" s="5">
        <v>88</v>
      </c>
      <c r="L100" s="5">
        <v>87</v>
      </c>
      <c r="M100" s="5">
        <v>89</v>
      </c>
      <c r="N100" s="5">
        <v>87</v>
      </c>
      <c r="O100" s="5">
        <v>90</v>
      </c>
      <c r="P100" s="5">
        <v>88</v>
      </c>
      <c r="Q100" s="37">
        <v>91</v>
      </c>
      <c r="R100" s="37">
        <v>89</v>
      </c>
      <c r="S100" s="38">
        <v>92</v>
      </c>
      <c r="T100" s="20"/>
    </row>
    <row r="101" spans="3:20" ht="37.5">
      <c r="C101" s="22" t="s">
        <v>171</v>
      </c>
      <c r="D101" s="8" t="s">
        <v>79</v>
      </c>
      <c r="E101" s="4">
        <v>5</v>
      </c>
      <c r="F101" s="5">
        <v>10</v>
      </c>
      <c r="G101" s="5">
        <v>10</v>
      </c>
      <c r="H101" s="5">
        <v>10</v>
      </c>
      <c r="I101" s="5">
        <v>10</v>
      </c>
      <c r="J101" s="5">
        <v>10</v>
      </c>
      <c r="K101" s="5">
        <v>11</v>
      </c>
      <c r="L101" s="5">
        <v>10</v>
      </c>
      <c r="M101" s="5">
        <v>12</v>
      </c>
      <c r="N101" s="5">
        <v>10</v>
      </c>
      <c r="O101" s="5">
        <v>12</v>
      </c>
      <c r="P101" s="5">
        <v>10</v>
      </c>
      <c r="Q101" s="37">
        <v>13</v>
      </c>
      <c r="R101" s="37">
        <v>11</v>
      </c>
      <c r="S101" s="38">
        <v>14</v>
      </c>
      <c r="T101" s="20"/>
    </row>
    <row r="102" spans="3:20" ht="56.25">
      <c r="C102" s="22" t="s">
        <v>172</v>
      </c>
      <c r="D102" s="8" t="s">
        <v>79</v>
      </c>
      <c r="E102" s="4">
        <v>3</v>
      </c>
      <c r="F102" s="5">
        <v>3</v>
      </c>
      <c r="G102" s="5">
        <v>3</v>
      </c>
      <c r="H102" s="5">
        <v>3</v>
      </c>
      <c r="I102" s="5">
        <v>3</v>
      </c>
      <c r="J102" s="5">
        <v>3</v>
      </c>
      <c r="K102" s="5">
        <v>4</v>
      </c>
      <c r="L102" s="5">
        <v>3</v>
      </c>
      <c r="M102" s="5">
        <v>4</v>
      </c>
      <c r="N102" s="5">
        <v>3</v>
      </c>
      <c r="O102" s="5">
        <v>5</v>
      </c>
      <c r="P102" s="5">
        <v>3</v>
      </c>
      <c r="Q102" s="37">
        <v>5</v>
      </c>
      <c r="R102" s="37">
        <v>4</v>
      </c>
      <c r="S102" s="38">
        <v>6</v>
      </c>
      <c r="T102" s="20"/>
    </row>
    <row r="103" spans="3:20" ht="56.25">
      <c r="C103" s="6" t="s">
        <v>173</v>
      </c>
      <c r="D103" s="8" t="s">
        <v>79</v>
      </c>
      <c r="E103" s="4">
        <v>16</v>
      </c>
      <c r="F103" s="5">
        <v>18</v>
      </c>
      <c r="G103" s="5">
        <v>18</v>
      </c>
      <c r="H103" s="5">
        <v>18</v>
      </c>
      <c r="I103" s="5">
        <v>18</v>
      </c>
      <c r="J103" s="5">
        <v>18</v>
      </c>
      <c r="K103" s="5">
        <v>19</v>
      </c>
      <c r="L103" s="5">
        <v>18</v>
      </c>
      <c r="M103" s="5">
        <v>20</v>
      </c>
      <c r="N103" s="5">
        <v>19</v>
      </c>
      <c r="O103" s="5">
        <v>21</v>
      </c>
      <c r="P103" s="5">
        <v>19</v>
      </c>
      <c r="Q103" s="37">
        <v>22</v>
      </c>
      <c r="R103" s="37">
        <v>20</v>
      </c>
      <c r="S103" s="38">
        <v>23</v>
      </c>
      <c r="T103" s="20"/>
    </row>
    <row r="104" spans="3:20" ht="18.75">
      <c r="C104" s="6" t="s">
        <v>174</v>
      </c>
      <c r="D104" s="8" t="s">
        <v>79</v>
      </c>
      <c r="E104" s="4">
        <v>9</v>
      </c>
      <c r="F104" s="5">
        <v>8</v>
      </c>
      <c r="G104" s="5">
        <v>8</v>
      </c>
      <c r="H104" s="5">
        <v>8</v>
      </c>
      <c r="I104" s="5">
        <v>8</v>
      </c>
      <c r="J104" s="5">
        <v>8</v>
      </c>
      <c r="K104" s="5">
        <v>9</v>
      </c>
      <c r="L104" s="5">
        <v>8</v>
      </c>
      <c r="M104" s="5">
        <v>10</v>
      </c>
      <c r="N104" s="5">
        <v>9</v>
      </c>
      <c r="O104" s="5">
        <v>10</v>
      </c>
      <c r="P104" s="5">
        <v>9</v>
      </c>
      <c r="Q104" s="37">
        <v>11</v>
      </c>
      <c r="R104" s="37">
        <v>10</v>
      </c>
      <c r="S104" s="38">
        <v>12</v>
      </c>
      <c r="T104" s="20"/>
    </row>
    <row r="105" spans="3:20" ht="37.5">
      <c r="C105" s="6" t="s">
        <v>176</v>
      </c>
      <c r="D105" s="4" t="s">
        <v>105</v>
      </c>
      <c r="E105" s="4">
        <v>279.3</v>
      </c>
      <c r="F105" s="5">
        <v>284.1</v>
      </c>
      <c r="G105" s="5">
        <f>G108+G110+G112+G113+G114+G115+G116+G117+G118</f>
        <v>273.85</v>
      </c>
      <c r="H105" s="5">
        <f>G105*104.3/100</f>
        <v>285.62555</v>
      </c>
      <c r="I105" s="5">
        <f>G105*104.8/100</f>
        <v>286.99480000000005</v>
      </c>
      <c r="J105" s="5">
        <f>H105*J106/100</f>
        <v>295.3368187</v>
      </c>
      <c r="K105" s="5">
        <v>297.61</v>
      </c>
      <c r="L105" s="5">
        <f>L108+L110+L112+L113+L114+L115+L116+L117+L118</f>
        <v>307.1502914479999</v>
      </c>
      <c r="M105" s="5">
        <f aca="true" t="shared" si="15" ref="M105:S105">M108+M110+M112+M113+M114+M115+M116+M117+M118</f>
        <v>310.1133791192</v>
      </c>
      <c r="N105" s="5">
        <f t="shared" si="15"/>
        <v>320.05060368881595</v>
      </c>
      <c r="O105" s="5">
        <f t="shared" si="15"/>
        <v>323.1381410422064</v>
      </c>
      <c r="P105" s="5">
        <f t="shared" si="15"/>
        <v>333.1726784400575</v>
      </c>
      <c r="Q105" s="5">
        <f t="shared" si="15"/>
        <v>337.67935738910575</v>
      </c>
      <c r="R105" s="5">
        <f t="shared" si="15"/>
        <v>346.49958557765973</v>
      </c>
      <c r="S105" s="5">
        <f t="shared" si="15"/>
        <v>353.8879665437827</v>
      </c>
      <c r="T105" s="20"/>
    </row>
    <row r="106" spans="3:20" ht="18.75">
      <c r="C106" s="6"/>
      <c r="D106" s="4" t="s">
        <v>98</v>
      </c>
      <c r="E106" s="4">
        <v>91.45</v>
      </c>
      <c r="F106" s="5">
        <f>F105/E105*100</f>
        <v>101.71858216970999</v>
      </c>
      <c r="G106" s="5">
        <f>G105/F105*100</f>
        <v>96.39211545230553</v>
      </c>
      <c r="H106" s="5">
        <f>H105/G105*100</f>
        <v>104.3</v>
      </c>
      <c r="I106" s="5">
        <f>I105/G105*100</f>
        <v>104.80000000000001</v>
      </c>
      <c r="J106" s="5">
        <v>103.4</v>
      </c>
      <c r="K106" s="5">
        <f>K105/I105*100</f>
        <v>103.69874297374027</v>
      </c>
      <c r="L106" s="5">
        <v>104</v>
      </c>
      <c r="M106" s="5">
        <v>104.2</v>
      </c>
      <c r="N106" s="5">
        <v>104</v>
      </c>
      <c r="O106" s="5">
        <v>104.2</v>
      </c>
      <c r="P106" s="5">
        <v>104.1</v>
      </c>
      <c r="Q106" s="27">
        <v>104.5</v>
      </c>
      <c r="R106" s="27">
        <v>104</v>
      </c>
      <c r="S106" s="28">
        <v>104.8</v>
      </c>
      <c r="T106" s="20"/>
    </row>
    <row r="107" spans="3:20" ht="37.5">
      <c r="C107" s="22" t="s">
        <v>33</v>
      </c>
      <c r="D107" s="4"/>
      <c r="E107" s="4"/>
      <c r="F107" s="5"/>
      <c r="G107" s="5"/>
      <c r="H107" s="59"/>
      <c r="I107" s="59"/>
      <c r="J107" s="5"/>
      <c r="K107" s="5"/>
      <c r="L107" s="5"/>
      <c r="M107" s="5"/>
      <c r="N107" s="5"/>
      <c r="O107" s="5"/>
      <c r="P107" s="5"/>
      <c r="Q107" s="27"/>
      <c r="R107" s="27"/>
      <c r="S107" s="28"/>
      <c r="T107" s="20"/>
    </row>
    <row r="108" spans="3:20" ht="39.75" customHeight="1">
      <c r="C108" s="22" t="s">
        <v>164</v>
      </c>
      <c r="D108" s="4" t="s">
        <v>105</v>
      </c>
      <c r="E108" s="4">
        <v>203.6</v>
      </c>
      <c r="F108" s="5">
        <v>212.4</v>
      </c>
      <c r="G108" s="5">
        <v>195.4</v>
      </c>
      <c r="H108" s="59">
        <f aca="true" t="shared" si="16" ref="H108:H118">G108*104.3/100</f>
        <v>203.8022</v>
      </c>
      <c r="I108" s="59">
        <f aca="true" t="shared" si="17" ref="I108:I118">G108*104.8/100</f>
        <v>204.77919999999997</v>
      </c>
      <c r="J108" s="5">
        <f>H108*J106/100</f>
        <v>210.7314748</v>
      </c>
      <c r="K108" s="5">
        <f>I108*103.7/100</f>
        <v>212.35603039999998</v>
      </c>
      <c r="L108" s="5">
        <f>J108*104/100</f>
        <v>219.160733792</v>
      </c>
      <c r="M108" s="5">
        <f>K108*104.2/100</f>
        <v>221.2749836768</v>
      </c>
      <c r="N108" s="5">
        <f>L108*104.2/100</f>
        <v>228.365484611264</v>
      </c>
      <c r="O108" s="5">
        <f>M108*104.2/100</f>
        <v>230.5685329912256</v>
      </c>
      <c r="P108" s="5">
        <f>N108*104.1/100</f>
        <v>237.7284694803258</v>
      </c>
      <c r="Q108" s="37">
        <f>O108*104.5/100</f>
        <v>240.94411697583072</v>
      </c>
      <c r="R108" s="37">
        <f>P108*104/100</f>
        <v>247.23760825953883</v>
      </c>
      <c r="S108" s="38">
        <f>Q108*104.8/100</f>
        <v>252.5094345906706</v>
      </c>
      <c r="T108" s="20"/>
    </row>
    <row r="109" spans="3:20" ht="37.5">
      <c r="C109" s="22" t="s">
        <v>165</v>
      </c>
      <c r="D109" s="4" t="s">
        <v>105</v>
      </c>
      <c r="E109" s="4">
        <v>0</v>
      </c>
      <c r="F109" s="5">
        <v>0</v>
      </c>
      <c r="G109" s="5">
        <v>0</v>
      </c>
      <c r="H109" s="59">
        <v>0</v>
      </c>
      <c r="I109" s="59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37">
        <v>0</v>
      </c>
      <c r="R109" s="37">
        <v>0</v>
      </c>
      <c r="S109" s="38">
        <v>0</v>
      </c>
      <c r="T109" s="20"/>
    </row>
    <row r="110" spans="3:20" ht="37.5">
      <c r="C110" s="22" t="s">
        <v>166</v>
      </c>
      <c r="D110" s="4" t="s">
        <v>105</v>
      </c>
      <c r="E110" s="4">
        <v>16.5</v>
      </c>
      <c r="F110" s="5">
        <v>19.3</v>
      </c>
      <c r="G110" s="5">
        <v>20.85</v>
      </c>
      <c r="H110" s="59">
        <f t="shared" si="16"/>
        <v>21.746550000000003</v>
      </c>
      <c r="I110" s="59">
        <f t="shared" si="17"/>
        <v>21.8508</v>
      </c>
      <c r="J110" s="5">
        <f>H110*J106/100</f>
        <v>22.485932700000003</v>
      </c>
      <c r="K110" s="5">
        <f aca="true" t="shared" si="18" ref="K110:K118">I110*103.7/100</f>
        <v>22.6592796</v>
      </c>
      <c r="L110" s="5">
        <f aca="true" t="shared" si="19" ref="L110:L118">J110*104/100</f>
        <v>23.385370008000006</v>
      </c>
      <c r="M110" s="5">
        <f aca="true" t="shared" si="20" ref="M110:M118">K110*104.2/100</f>
        <v>23.610969343200004</v>
      </c>
      <c r="N110" s="5">
        <f aca="true" t="shared" si="21" ref="N110:N118">L110*104.2/100</f>
        <v>24.367555548336007</v>
      </c>
      <c r="O110" s="5">
        <f aca="true" t="shared" si="22" ref="O110:O118">M110*104.2/100</f>
        <v>24.602630055614405</v>
      </c>
      <c r="P110" s="5">
        <f aca="true" t="shared" si="23" ref="P110:P118">N110*104.1/100</f>
        <v>25.366625325817783</v>
      </c>
      <c r="Q110" s="37">
        <f aca="true" t="shared" si="24" ref="Q110:Q118">O110*104.5/100</f>
        <v>25.70974840811705</v>
      </c>
      <c r="R110" s="37">
        <f aca="true" t="shared" si="25" ref="R110:R118">P110*104/100</f>
        <v>26.381290338850494</v>
      </c>
      <c r="S110" s="38">
        <f aca="true" t="shared" si="26" ref="S110:S118">Q110*104.8/100</f>
        <v>26.943816331706667</v>
      </c>
      <c r="T110" s="20"/>
    </row>
    <row r="111" spans="3:20" ht="56.25">
      <c r="C111" s="6" t="s">
        <v>167</v>
      </c>
      <c r="D111" s="4" t="s">
        <v>105</v>
      </c>
      <c r="E111" s="4">
        <v>0</v>
      </c>
      <c r="F111" s="5">
        <v>0</v>
      </c>
      <c r="G111" s="5">
        <v>0</v>
      </c>
      <c r="H111" s="59">
        <v>0</v>
      </c>
      <c r="I111" s="59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37">
        <v>0</v>
      </c>
      <c r="R111" s="37">
        <v>0</v>
      </c>
      <c r="S111" s="38">
        <v>0</v>
      </c>
      <c r="T111" s="20"/>
    </row>
    <row r="112" spans="3:20" ht="93.75">
      <c r="C112" s="6" t="s">
        <v>168</v>
      </c>
      <c r="D112" s="4" t="s">
        <v>105</v>
      </c>
      <c r="E112" s="4">
        <v>1.8</v>
      </c>
      <c r="F112" s="5">
        <v>1.6</v>
      </c>
      <c r="G112" s="5">
        <v>4.8</v>
      </c>
      <c r="H112" s="59">
        <f t="shared" si="16"/>
        <v>5.0064</v>
      </c>
      <c r="I112" s="59">
        <f t="shared" si="17"/>
        <v>5.030399999999999</v>
      </c>
      <c r="J112" s="5">
        <f>H112*J106/100</f>
        <v>5.176617600000001</v>
      </c>
      <c r="K112" s="5">
        <f t="shared" si="18"/>
        <v>5.216524799999999</v>
      </c>
      <c r="L112" s="5">
        <f t="shared" si="19"/>
        <v>5.3836823040000015</v>
      </c>
      <c r="M112" s="5">
        <f t="shared" si="20"/>
        <v>5.4356188416</v>
      </c>
      <c r="N112" s="5">
        <f t="shared" si="21"/>
        <v>5.609796960768002</v>
      </c>
      <c r="O112" s="5">
        <f t="shared" si="22"/>
        <v>5.6639148329472</v>
      </c>
      <c r="P112" s="5">
        <f t="shared" si="23"/>
        <v>5.8397986361594905</v>
      </c>
      <c r="Q112" s="37">
        <f t="shared" si="24"/>
        <v>5.918791000429824</v>
      </c>
      <c r="R112" s="37">
        <f t="shared" si="25"/>
        <v>6.07339058160587</v>
      </c>
      <c r="S112" s="38">
        <f t="shared" si="26"/>
        <v>6.202892968450455</v>
      </c>
      <c r="T112" s="20"/>
    </row>
    <row r="113" spans="3:20" ht="37.5">
      <c r="C113" s="6" t="s">
        <v>169</v>
      </c>
      <c r="D113" s="4" t="s">
        <v>105</v>
      </c>
      <c r="E113" s="4">
        <v>2.5</v>
      </c>
      <c r="F113" s="5">
        <v>2.6</v>
      </c>
      <c r="G113" s="5">
        <v>2.4</v>
      </c>
      <c r="H113" s="59">
        <f t="shared" si="16"/>
        <v>2.5032</v>
      </c>
      <c r="I113" s="59">
        <f t="shared" si="17"/>
        <v>2.5151999999999997</v>
      </c>
      <c r="J113" s="5">
        <f>H113*J106/100</f>
        <v>2.5883088000000005</v>
      </c>
      <c r="K113" s="5">
        <f t="shared" si="18"/>
        <v>2.6082623999999996</v>
      </c>
      <c r="L113" s="5">
        <f t="shared" si="19"/>
        <v>2.6918411520000007</v>
      </c>
      <c r="M113" s="5">
        <f t="shared" si="20"/>
        <v>2.7178094208</v>
      </c>
      <c r="N113" s="5">
        <f t="shared" si="21"/>
        <v>2.804898480384001</v>
      </c>
      <c r="O113" s="5">
        <f t="shared" si="22"/>
        <v>2.8319574164736</v>
      </c>
      <c r="P113" s="5">
        <f t="shared" si="23"/>
        <v>2.9198993180797452</v>
      </c>
      <c r="Q113" s="37">
        <f t="shared" si="24"/>
        <v>2.959395500214912</v>
      </c>
      <c r="R113" s="37">
        <f t="shared" si="25"/>
        <v>3.036695290802935</v>
      </c>
      <c r="S113" s="38">
        <f t="shared" si="26"/>
        <v>3.1014464842252276</v>
      </c>
      <c r="T113" s="20"/>
    </row>
    <row r="114" spans="3:20" ht="75">
      <c r="C114" s="6" t="s">
        <v>170</v>
      </c>
      <c r="D114" s="4" t="s">
        <v>105</v>
      </c>
      <c r="E114" s="4">
        <v>49.1</v>
      </c>
      <c r="F114" s="5">
        <v>40.9</v>
      </c>
      <c r="G114" s="5">
        <v>43.4</v>
      </c>
      <c r="H114" s="59">
        <f t="shared" si="16"/>
        <v>45.2662</v>
      </c>
      <c r="I114" s="59">
        <f t="shared" si="17"/>
        <v>45.4832</v>
      </c>
      <c r="J114" s="5">
        <f>H114*J106/100</f>
        <v>46.8052508</v>
      </c>
      <c r="K114" s="5">
        <f t="shared" si="18"/>
        <v>47.166078399999996</v>
      </c>
      <c r="L114" s="5">
        <f t="shared" si="19"/>
        <v>48.67746083200001</v>
      </c>
      <c r="M114" s="5">
        <f t="shared" si="20"/>
        <v>49.1470536928</v>
      </c>
      <c r="N114" s="5">
        <f t="shared" si="21"/>
        <v>50.72191418694401</v>
      </c>
      <c r="O114" s="5">
        <f t="shared" si="22"/>
        <v>51.2112299478976</v>
      </c>
      <c r="P114" s="5">
        <f t="shared" si="23"/>
        <v>52.80151266860871</v>
      </c>
      <c r="Q114" s="37">
        <f t="shared" si="24"/>
        <v>53.51573529555299</v>
      </c>
      <c r="R114" s="37">
        <f t="shared" si="25"/>
        <v>54.91357317535306</v>
      </c>
      <c r="S114" s="38">
        <f t="shared" si="26"/>
        <v>56.08449058973954</v>
      </c>
      <c r="T114" s="20"/>
    </row>
    <row r="115" spans="3:20" ht="37.5">
      <c r="C115" s="22" t="s">
        <v>171</v>
      </c>
      <c r="D115" s="4" t="s">
        <v>105</v>
      </c>
      <c r="E115" s="4"/>
      <c r="F115" s="5">
        <v>0.7</v>
      </c>
      <c r="G115" s="5">
        <v>0.8</v>
      </c>
      <c r="H115" s="59">
        <f t="shared" si="16"/>
        <v>0.8344</v>
      </c>
      <c r="I115" s="59">
        <f t="shared" si="17"/>
        <v>0.8384</v>
      </c>
      <c r="J115" s="5">
        <f>H115*J106/100</f>
        <v>0.8627696</v>
      </c>
      <c r="K115" s="5">
        <f t="shared" si="18"/>
        <v>0.8694208</v>
      </c>
      <c r="L115" s="5">
        <f t="shared" si="19"/>
        <v>0.897280384</v>
      </c>
      <c r="M115" s="5">
        <f t="shared" si="20"/>
        <v>0.9059364736000001</v>
      </c>
      <c r="N115" s="5">
        <f t="shared" si="21"/>
        <v>0.934966160128</v>
      </c>
      <c r="O115" s="5">
        <f t="shared" si="22"/>
        <v>0.9439858054912001</v>
      </c>
      <c r="P115" s="5">
        <f t="shared" si="23"/>
        <v>0.973299772693248</v>
      </c>
      <c r="Q115" s="37">
        <f t="shared" si="24"/>
        <v>0.9864651667383042</v>
      </c>
      <c r="R115" s="37">
        <f t="shared" si="25"/>
        <v>1.0122317636009779</v>
      </c>
      <c r="S115" s="38">
        <f t="shared" si="26"/>
        <v>1.0338154947417428</v>
      </c>
      <c r="T115" s="20"/>
    </row>
    <row r="116" spans="3:20" ht="56.25">
      <c r="C116" s="22" t="s">
        <v>172</v>
      </c>
      <c r="D116" s="4" t="s">
        <v>105</v>
      </c>
      <c r="E116" s="4"/>
      <c r="F116" s="5">
        <v>0.3</v>
      </c>
      <c r="G116" s="5">
        <v>0.5</v>
      </c>
      <c r="H116" s="59">
        <f t="shared" si="16"/>
        <v>0.5215</v>
      </c>
      <c r="I116" s="59">
        <f t="shared" si="17"/>
        <v>0.524</v>
      </c>
      <c r="J116" s="5">
        <f>H116*J106/100</f>
        <v>0.539231</v>
      </c>
      <c r="K116" s="5">
        <f t="shared" si="18"/>
        <v>0.5433880000000001</v>
      </c>
      <c r="L116" s="5">
        <f t="shared" si="19"/>
        <v>0.5608002400000001</v>
      </c>
      <c r="M116" s="5">
        <f t="shared" si="20"/>
        <v>0.5662102960000002</v>
      </c>
      <c r="N116" s="5">
        <f t="shared" si="21"/>
        <v>0.5843538500800001</v>
      </c>
      <c r="O116" s="5">
        <f t="shared" si="22"/>
        <v>0.5899911284320002</v>
      </c>
      <c r="P116" s="5">
        <f t="shared" si="23"/>
        <v>0.6083123579332801</v>
      </c>
      <c r="Q116" s="37">
        <f t="shared" si="24"/>
        <v>0.6165407292114402</v>
      </c>
      <c r="R116" s="37">
        <f t="shared" si="25"/>
        <v>0.6326448522506113</v>
      </c>
      <c r="S116" s="38">
        <f t="shared" si="26"/>
        <v>0.6461346842135893</v>
      </c>
      <c r="T116" s="20"/>
    </row>
    <row r="117" spans="3:20" ht="56.25">
      <c r="C117" s="6" t="s">
        <v>173</v>
      </c>
      <c r="D117" s="4" t="s">
        <v>105</v>
      </c>
      <c r="E117" s="4">
        <v>5.8</v>
      </c>
      <c r="F117" s="5">
        <v>4.6</v>
      </c>
      <c r="G117" s="5">
        <v>4.2</v>
      </c>
      <c r="H117" s="59">
        <f t="shared" si="16"/>
        <v>4.3806</v>
      </c>
      <c r="I117" s="59">
        <f t="shared" si="17"/>
        <v>4.4016</v>
      </c>
      <c r="J117" s="5">
        <f>H117*J106/100</f>
        <v>4.529540400000001</v>
      </c>
      <c r="K117" s="5">
        <f t="shared" si="18"/>
        <v>4.564459200000001</v>
      </c>
      <c r="L117" s="5">
        <f t="shared" si="19"/>
        <v>4.710722016000001</v>
      </c>
      <c r="M117" s="5">
        <f t="shared" si="20"/>
        <v>4.7561664864000015</v>
      </c>
      <c r="N117" s="5">
        <f t="shared" si="21"/>
        <v>4.908572340672001</v>
      </c>
      <c r="O117" s="5">
        <f t="shared" si="22"/>
        <v>4.955925478828802</v>
      </c>
      <c r="P117" s="5">
        <f t="shared" si="23"/>
        <v>5.109823806639553</v>
      </c>
      <c r="Q117" s="37">
        <f t="shared" si="24"/>
        <v>5.178942125376099</v>
      </c>
      <c r="R117" s="37">
        <f t="shared" si="25"/>
        <v>5.314216758905135</v>
      </c>
      <c r="S117" s="38">
        <f t="shared" si="26"/>
        <v>5.427531347394152</v>
      </c>
      <c r="T117" s="20"/>
    </row>
    <row r="118" spans="3:20" ht="18.75">
      <c r="C118" s="6" t="s">
        <v>174</v>
      </c>
      <c r="D118" s="4" t="s">
        <v>105</v>
      </c>
      <c r="E118" s="4">
        <v>0</v>
      </c>
      <c r="F118" s="5">
        <v>1.7</v>
      </c>
      <c r="G118" s="5">
        <v>1.5</v>
      </c>
      <c r="H118" s="59">
        <f t="shared" si="16"/>
        <v>1.5644999999999998</v>
      </c>
      <c r="I118" s="59">
        <f t="shared" si="17"/>
        <v>1.5719999999999998</v>
      </c>
      <c r="J118" s="5">
        <f>H118*J106/100</f>
        <v>1.6176929999999998</v>
      </c>
      <c r="K118" s="5">
        <f t="shared" si="18"/>
        <v>1.6301639999999997</v>
      </c>
      <c r="L118" s="5">
        <f t="shared" si="19"/>
        <v>1.6824007199999997</v>
      </c>
      <c r="M118" s="5">
        <f t="shared" si="20"/>
        <v>1.6986308879999998</v>
      </c>
      <c r="N118" s="5">
        <f t="shared" si="21"/>
        <v>1.75306155024</v>
      </c>
      <c r="O118" s="5">
        <f t="shared" si="22"/>
        <v>1.769973385296</v>
      </c>
      <c r="P118" s="5">
        <f t="shared" si="23"/>
        <v>1.8249370737998398</v>
      </c>
      <c r="Q118" s="37">
        <f t="shared" si="24"/>
        <v>1.84962218763432</v>
      </c>
      <c r="R118" s="37">
        <f t="shared" si="25"/>
        <v>1.8979345567518333</v>
      </c>
      <c r="S118" s="38">
        <f t="shared" si="26"/>
        <v>1.9384040526407673</v>
      </c>
      <c r="T118" s="20"/>
    </row>
    <row r="119" spans="3:20" ht="37.5">
      <c r="C119" s="6" t="s">
        <v>189</v>
      </c>
      <c r="D119" s="8" t="s">
        <v>79</v>
      </c>
      <c r="E119" s="4">
        <v>319</v>
      </c>
      <c r="F119" s="5">
        <v>327</v>
      </c>
      <c r="G119" s="5">
        <v>333</v>
      </c>
      <c r="H119" s="5">
        <f>H122-H77</f>
        <v>330</v>
      </c>
      <c r="I119" s="5">
        <f>I122-I77</f>
        <v>334</v>
      </c>
      <c r="J119" s="5">
        <f>J122-J77</f>
        <v>330</v>
      </c>
      <c r="K119" s="5">
        <f aca="true" t="shared" si="27" ref="K119:S119">K122-K77</f>
        <v>335</v>
      </c>
      <c r="L119" s="5">
        <f t="shared" si="27"/>
        <v>332</v>
      </c>
      <c r="M119" s="5">
        <f t="shared" si="27"/>
        <v>336</v>
      </c>
      <c r="N119" s="5">
        <f t="shared" si="27"/>
        <v>332</v>
      </c>
      <c r="O119" s="5">
        <f t="shared" si="27"/>
        <v>336</v>
      </c>
      <c r="P119" s="5">
        <f t="shared" si="27"/>
        <v>333</v>
      </c>
      <c r="Q119" s="5">
        <f t="shared" si="27"/>
        <v>336</v>
      </c>
      <c r="R119" s="5">
        <f t="shared" si="27"/>
        <v>334</v>
      </c>
      <c r="S119" s="5">
        <f t="shared" si="27"/>
        <v>337</v>
      </c>
      <c r="T119" s="20"/>
    </row>
    <row r="120" spans="3:20" ht="18" customHeight="1">
      <c r="C120" s="6" t="s">
        <v>190</v>
      </c>
      <c r="D120" s="8" t="s">
        <v>79</v>
      </c>
      <c r="E120" s="4">
        <v>637</v>
      </c>
      <c r="F120" s="5">
        <v>632</v>
      </c>
      <c r="G120" s="5">
        <v>640</v>
      </c>
      <c r="H120" s="5">
        <f>H121-H91</f>
        <v>642</v>
      </c>
      <c r="I120" s="5">
        <f aca="true" t="shared" si="28" ref="I120:S120">I121-I91</f>
        <v>644</v>
      </c>
      <c r="J120" s="5">
        <f t="shared" si="28"/>
        <v>644</v>
      </c>
      <c r="K120" s="5">
        <f t="shared" si="28"/>
        <v>651</v>
      </c>
      <c r="L120" s="5">
        <f t="shared" si="28"/>
        <v>644</v>
      </c>
      <c r="M120" s="5">
        <f t="shared" si="28"/>
        <v>667</v>
      </c>
      <c r="N120" s="5">
        <f t="shared" si="28"/>
        <v>644</v>
      </c>
      <c r="O120" s="5">
        <f t="shared" si="28"/>
        <v>710</v>
      </c>
      <c r="P120" s="5">
        <f t="shared" si="28"/>
        <v>653</v>
      </c>
      <c r="Q120" s="5">
        <f t="shared" si="28"/>
        <v>777</v>
      </c>
      <c r="R120" s="5">
        <f t="shared" si="28"/>
        <v>660</v>
      </c>
      <c r="S120" s="5">
        <f t="shared" si="28"/>
        <v>848</v>
      </c>
      <c r="T120" s="20"/>
    </row>
    <row r="121" spans="3:20" ht="37.5">
      <c r="C121" s="6" t="s">
        <v>219</v>
      </c>
      <c r="D121" s="8"/>
      <c r="E121" s="4">
        <v>929</v>
      </c>
      <c r="F121" s="5">
        <v>950</v>
      </c>
      <c r="G121" s="5">
        <v>956</v>
      </c>
      <c r="H121" s="5">
        <v>959</v>
      </c>
      <c r="I121" s="5">
        <v>964</v>
      </c>
      <c r="J121" s="5">
        <v>962</v>
      </c>
      <c r="K121" s="5">
        <v>981</v>
      </c>
      <c r="L121" s="5">
        <v>964</v>
      </c>
      <c r="M121" s="5">
        <v>1007</v>
      </c>
      <c r="N121" s="5">
        <v>966</v>
      </c>
      <c r="O121" s="5">
        <v>1056</v>
      </c>
      <c r="P121" s="5">
        <v>978</v>
      </c>
      <c r="Q121" s="37">
        <v>1130</v>
      </c>
      <c r="R121" s="37">
        <v>994</v>
      </c>
      <c r="S121" s="38">
        <v>1213</v>
      </c>
      <c r="T121" s="20"/>
    </row>
    <row r="122" spans="3:20" ht="18.75">
      <c r="C122" s="6" t="s">
        <v>225</v>
      </c>
      <c r="D122" s="8"/>
      <c r="E122" s="4">
        <v>374</v>
      </c>
      <c r="F122" s="5">
        <v>381</v>
      </c>
      <c r="G122" s="5">
        <v>387</v>
      </c>
      <c r="H122" s="5">
        <v>384</v>
      </c>
      <c r="I122" s="5">
        <v>389</v>
      </c>
      <c r="J122" s="5">
        <v>385</v>
      </c>
      <c r="K122" s="5">
        <v>392</v>
      </c>
      <c r="L122" s="5">
        <v>388</v>
      </c>
      <c r="M122" s="5">
        <v>395</v>
      </c>
      <c r="N122" s="5">
        <v>389</v>
      </c>
      <c r="O122" s="5">
        <v>397</v>
      </c>
      <c r="P122" s="5">
        <v>391</v>
      </c>
      <c r="Q122" s="37">
        <v>399</v>
      </c>
      <c r="R122" s="37">
        <v>393</v>
      </c>
      <c r="S122" s="38">
        <v>402</v>
      </c>
      <c r="T122" s="20"/>
    </row>
    <row r="123" spans="3:20" ht="18.75">
      <c r="C123" s="3" t="s">
        <v>205</v>
      </c>
      <c r="D123" s="4"/>
      <c r="E123" s="4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8"/>
      <c r="R123" s="18"/>
      <c r="S123" s="19"/>
      <c r="T123" s="20"/>
    </row>
    <row r="124" spans="3:20" ht="37.5">
      <c r="C124" s="7" t="s">
        <v>35</v>
      </c>
      <c r="D124" s="4" t="s">
        <v>25</v>
      </c>
      <c r="E124" s="4">
        <v>18.07</v>
      </c>
      <c r="F124" s="5">
        <v>11.91</v>
      </c>
      <c r="G124" s="5">
        <f>G127</f>
        <v>22.97</v>
      </c>
      <c r="H124" s="5">
        <f aca="true" t="shared" si="29" ref="H124:S124">H127</f>
        <v>1.52</v>
      </c>
      <c r="I124" s="5">
        <f t="shared" si="29"/>
        <v>1.64</v>
      </c>
      <c r="J124" s="5">
        <f t="shared" si="29"/>
        <v>1.29</v>
      </c>
      <c r="K124" s="5">
        <f t="shared" si="29"/>
        <v>1.47</v>
      </c>
      <c r="L124" s="5">
        <f t="shared" si="29"/>
        <v>1.252</v>
      </c>
      <c r="M124" s="5">
        <f t="shared" si="29"/>
        <v>1.47</v>
      </c>
      <c r="N124" s="5">
        <f t="shared" si="29"/>
        <v>1.2309999999999999</v>
      </c>
      <c r="O124" s="5">
        <f t="shared" si="29"/>
        <v>1.472</v>
      </c>
      <c r="P124" s="5">
        <f t="shared" si="29"/>
        <v>1.223</v>
      </c>
      <c r="Q124" s="5">
        <f t="shared" si="29"/>
        <v>1.4789999999999999</v>
      </c>
      <c r="R124" s="5">
        <f t="shared" si="29"/>
        <v>1.2220000000000002</v>
      </c>
      <c r="S124" s="5">
        <f t="shared" si="29"/>
        <v>1.489</v>
      </c>
      <c r="T124" s="20"/>
    </row>
    <row r="125" spans="3:20" ht="37.5">
      <c r="C125" s="7" t="s">
        <v>36</v>
      </c>
      <c r="D125" s="4" t="s">
        <v>26</v>
      </c>
      <c r="E125" s="4">
        <v>77.4</v>
      </c>
      <c r="F125" s="5">
        <f>F124/F126/E124*10000</f>
        <v>63.558677573926325</v>
      </c>
      <c r="G125" s="5">
        <f>G128</f>
        <v>183.85428047502756</v>
      </c>
      <c r="H125" s="5">
        <f aca="true" t="shared" si="30" ref="H125:S125">H128</f>
        <v>6.302216141136472</v>
      </c>
      <c r="I125" s="5">
        <f t="shared" si="30"/>
        <v>6.786832221230867</v>
      </c>
      <c r="J125" s="5">
        <f t="shared" si="30"/>
        <v>81.29159104658197</v>
      </c>
      <c r="K125" s="5">
        <f t="shared" si="30"/>
        <v>85.61045495841778</v>
      </c>
      <c r="L125" s="5">
        <f t="shared" si="30"/>
        <v>81.7371094311045</v>
      </c>
      <c r="M125" s="5">
        <f t="shared" si="30"/>
        <v>95.69377990430621</v>
      </c>
      <c r="N125" s="5">
        <f t="shared" si="30"/>
        <v>94.26911189460237</v>
      </c>
      <c r="O125" s="5">
        <f t="shared" si="30"/>
        <v>95.54967024977931</v>
      </c>
      <c r="P125" s="5">
        <f t="shared" si="30"/>
        <v>95.16295196566354</v>
      </c>
      <c r="Q125" s="5">
        <f t="shared" si="30"/>
        <v>95.87361018918021</v>
      </c>
      <c r="R125" s="5">
        <f t="shared" si="30"/>
        <v>95.70712054711267</v>
      </c>
      <c r="S125" s="5">
        <f t="shared" si="30"/>
        <v>95.97343424401745</v>
      </c>
      <c r="T125" s="20"/>
    </row>
    <row r="126" spans="3:20" ht="18.75">
      <c r="C126" s="6" t="s">
        <v>37</v>
      </c>
      <c r="D126" s="4" t="s">
        <v>98</v>
      </c>
      <c r="E126" s="4">
        <v>106</v>
      </c>
      <c r="F126" s="5">
        <v>103.7</v>
      </c>
      <c r="G126" s="5">
        <v>104.9</v>
      </c>
      <c r="H126" s="5">
        <v>105</v>
      </c>
      <c r="I126" s="5">
        <v>105.2</v>
      </c>
      <c r="J126" s="5">
        <v>104.4</v>
      </c>
      <c r="K126" s="5">
        <v>104.7</v>
      </c>
      <c r="L126" s="5">
        <v>104.2</v>
      </c>
      <c r="M126" s="5">
        <v>104.5</v>
      </c>
      <c r="N126" s="5">
        <v>104.3</v>
      </c>
      <c r="O126" s="5">
        <v>104.8</v>
      </c>
      <c r="P126" s="5">
        <v>104.4</v>
      </c>
      <c r="Q126" s="62">
        <v>104.8</v>
      </c>
      <c r="R126" s="62">
        <v>104.4</v>
      </c>
      <c r="S126" s="63">
        <v>104.9</v>
      </c>
      <c r="T126" s="20"/>
    </row>
    <row r="127" spans="3:20" ht="112.5">
      <c r="C127" s="6" t="s">
        <v>38</v>
      </c>
      <c r="D127" s="4" t="s">
        <v>105</v>
      </c>
      <c r="E127" s="4">
        <v>18.07</v>
      </c>
      <c r="F127" s="5">
        <v>11.91</v>
      </c>
      <c r="G127" s="5">
        <v>22.97</v>
      </c>
      <c r="H127" s="5">
        <f aca="true" t="shared" si="31" ref="H127:S127">H132+H134+H130+H140+H142+H144+H146+H148</f>
        <v>1.52</v>
      </c>
      <c r="I127" s="5">
        <f t="shared" si="31"/>
        <v>1.64</v>
      </c>
      <c r="J127" s="5">
        <f t="shared" si="31"/>
        <v>1.29</v>
      </c>
      <c r="K127" s="5">
        <f t="shared" si="31"/>
        <v>1.47</v>
      </c>
      <c r="L127" s="5">
        <f t="shared" si="31"/>
        <v>1.252</v>
      </c>
      <c r="M127" s="5">
        <f t="shared" si="31"/>
        <v>1.47</v>
      </c>
      <c r="N127" s="5">
        <f t="shared" si="31"/>
        <v>1.2309999999999999</v>
      </c>
      <c r="O127" s="5">
        <f t="shared" si="31"/>
        <v>1.472</v>
      </c>
      <c r="P127" s="5">
        <f t="shared" si="31"/>
        <v>1.223</v>
      </c>
      <c r="Q127" s="5">
        <f t="shared" si="31"/>
        <v>1.4789999999999999</v>
      </c>
      <c r="R127" s="5">
        <f t="shared" si="31"/>
        <v>1.2220000000000002</v>
      </c>
      <c r="S127" s="5">
        <f t="shared" si="31"/>
        <v>1.489</v>
      </c>
      <c r="T127" s="20"/>
    </row>
    <row r="128" spans="3:20" ht="37.5">
      <c r="C128" s="6" t="s">
        <v>39</v>
      </c>
      <c r="D128" s="4" t="s">
        <v>26</v>
      </c>
      <c r="E128" s="4">
        <v>77.4</v>
      </c>
      <c r="F128" s="5">
        <v>63.56</v>
      </c>
      <c r="G128" s="5">
        <f>G127/G129/F127*10000</f>
        <v>183.85428047502756</v>
      </c>
      <c r="H128" s="5">
        <f>H127/H129/G127*10000</f>
        <v>6.302216141136472</v>
      </c>
      <c r="I128" s="5">
        <f>I127/I129/G127*10000</f>
        <v>6.786832221230867</v>
      </c>
      <c r="J128" s="5">
        <f>J127/H127/J129*10000</f>
        <v>81.29159104658197</v>
      </c>
      <c r="K128" s="5">
        <f>K127/K129/I127*10000</f>
        <v>85.61045495841778</v>
      </c>
      <c r="L128" s="5">
        <f>L127/L129/K127*10000</f>
        <v>81.7371094311045</v>
      </c>
      <c r="M128" s="5">
        <f aca="true" t="shared" si="32" ref="M128:S128">M127/M129/K127*10000</f>
        <v>95.69377990430621</v>
      </c>
      <c r="N128" s="5">
        <f t="shared" si="32"/>
        <v>94.26911189460237</v>
      </c>
      <c r="O128" s="5">
        <f t="shared" si="32"/>
        <v>95.54967024977931</v>
      </c>
      <c r="P128" s="5">
        <f t="shared" si="32"/>
        <v>95.16295196566354</v>
      </c>
      <c r="Q128" s="29">
        <f t="shared" si="32"/>
        <v>95.87361018918021</v>
      </c>
      <c r="R128" s="29">
        <f t="shared" si="32"/>
        <v>95.70712054711267</v>
      </c>
      <c r="S128" s="30">
        <f t="shared" si="32"/>
        <v>95.97343424401745</v>
      </c>
      <c r="T128" s="20"/>
    </row>
    <row r="129" spans="3:20" ht="18.75">
      <c r="C129" s="6" t="s">
        <v>37</v>
      </c>
      <c r="D129" s="4" t="s">
        <v>98</v>
      </c>
      <c r="E129" s="4">
        <v>106</v>
      </c>
      <c r="F129" s="5">
        <v>103.7</v>
      </c>
      <c r="G129" s="5">
        <v>104.9</v>
      </c>
      <c r="H129" s="5">
        <v>105</v>
      </c>
      <c r="I129" s="5">
        <v>105.2</v>
      </c>
      <c r="J129" s="5">
        <v>104.4</v>
      </c>
      <c r="K129" s="5">
        <v>104.7</v>
      </c>
      <c r="L129" s="5">
        <v>104.2</v>
      </c>
      <c r="M129" s="5">
        <v>104.5</v>
      </c>
      <c r="N129" s="5">
        <v>104.3</v>
      </c>
      <c r="O129" s="5">
        <v>104.8</v>
      </c>
      <c r="P129" s="5">
        <v>104.4</v>
      </c>
      <c r="Q129" s="33">
        <v>104.8</v>
      </c>
      <c r="R129" s="31">
        <v>104.4</v>
      </c>
      <c r="S129" s="32">
        <v>104.9</v>
      </c>
      <c r="T129" s="20"/>
    </row>
    <row r="130" spans="3:20" ht="37.5" customHeight="1">
      <c r="C130" s="23" t="s">
        <v>122</v>
      </c>
      <c r="D130" s="9" t="s">
        <v>40</v>
      </c>
      <c r="E130" s="9">
        <v>0</v>
      </c>
      <c r="F130" s="5">
        <v>5.13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65">
        <v>0</v>
      </c>
      <c r="R130" s="65">
        <v>0</v>
      </c>
      <c r="S130" s="66">
        <v>0</v>
      </c>
      <c r="T130" s="20"/>
    </row>
    <row r="131" spans="3:20" ht="37.5">
      <c r="C131" s="23" t="s">
        <v>39</v>
      </c>
      <c r="D131" s="9" t="s">
        <v>26</v>
      </c>
      <c r="E131" s="9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20"/>
    </row>
    <row r="132" spans="3:20" ht="39.75" customHeight="1">
      <c r="C132" s="23" t="s">
        <v>123</v>
      </c>
      <c r="D132" s="9" t="s">
        <v>40</v>
      </c>
      <c r="E132" s="9">
        <v>0.46</v>
      </c>
      <c r="F132" s="5">
        <v>0.11</v>
      </c>
      <c r="G132" s="5">
        <v>0.11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20"/>
    </row>
    <row r="133" spans="3:20" ht="37.5">
      <c r="C133" s="23" t="s">
        <v>39</v>
      </c>
      <c r="D133" s="9" t="s">
        <v>26</v>
      </c>
      <c r="E133" s="9">
        <v>19.57</v>
      </c>
      <c r="F133" s="5">
        <f>F132/103.7/E132*10000</f>
        <v>23.05982977652928</v>
      </c>
      <c r="G133" s="5">
        <f>G132/104.9/F132*10000</f>
        <v>95.32888465204955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20"/>
    </row>
    <row r="134" spans="3:20" ht="38.25" customHeight="1">
      <c r="C134" s="23" t="s">
        <v>124</v>
      </c>
      <c r="D134" s="9" t="s">
        <v>40</v>
      </c>
      <c r="E134" s="9">
        <v>0.26</v>
      </c>
      <c r="F134" s="5">
        <v>0.35</v>
      </c>
      <c r="G134" s="5">
        <v>17.19</v>
      </c>
      <c r="H134" s="5">
        <v>0.2</v>
      </c>
      <c r="I134" s="5">
        <v>0.22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65">
        <v>0</v>
      </c>
      <c r="R134" s="65">
        <v>0</v>
      </c>
      <c r="S134" s="66">
        <v>0</v>
      </c>
      <c r="T134" s="20"/>
    </row>
    <row r="135" spans="3:20" ht="37.5">
      <c r="C135" s="23" t="s">
        <v>39</v>
      </c>
      <c r="D135" s="9" t="s">
        <v>26</v>
      </c>
      <c r="E135" s="9">
        <v>2.11</v>
      </c>
      <c r="F135" s="5">
        <f>F134/103.7/E134*10000</f>
        <v>129.81232846228022</v>
      </c>
      <c r="G135" s="5" t="s">
        <v>222</v>
      </c>
      <c r="H135" s="5">
        <f>H134/105/G134*10000</f>
        <v>1.1080639352890662</v>
      </c>
      <c r="I135" s="5">
        <f>I134/105.2/G134*10000</f>
        <v>1.2165530848468358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20"/>
    </row>
    <row r="136" spans="3:20" ht="39.75" customHeight="1">
      <c r="C136" s="23" t="s">
        <v>132</v>
      </c>
      <c r="D136" s="9" t="s">
        <v>40</v>
      </c>
      <c r="E136" s="9">
        <v>12.76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65">
        <v>0</v>
      </c>
      <c r="R136" s="65">
        <v>0</v>
      </c>
      <c r="S136" s="66">
        <v>0</v>
      </c>
      <c r="T136" s="20"/>
    </row>
    <row r="137" spans="3:20" ht="37.5">
      <c r="C137" s="23" t="s">
        <v>39</v>
      </c>
      <c r="D137" s="9" t="s">
        <v>26</v>
      </c>
      <c r="E137" s="9" t="s">
        <v>220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20"/>
    </row>
    <row r="138" spans="3:20" ht="41.25" customHeight="1">
      <c r="C138" s="23" t="s">
        <v>125</v>
      </c>
      <c r="D138" s="9" t="s">
        <v>40</v>
      </c>
      <c r="E138" s="9">
        <v>1.39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65">
        <v>0</v>
      </c>
      <c r="R138" s="65">
        <v>0</v>
      </c>
      <c r="S138" s="66">
        <v>0</v>
      </c>
      <c r="T138" s="20"/>
    </row>
    <row r="139" spans="3:20" ht="37.5">
      <c r="C139" s="23" t="s">
        <v>39</v>
      </c>
      <c r="D139" s="9" t="s">
        <v>26</v>
      </c>
      <c r="E139" s="9">
        <v>105.6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20"/>
    </row>
    <row r="140" spans="3:20" ht="36" customHeight="1">
      <c r="C140" s="23" t="s">
        <v>126</v>
      </c>
      <c r="D140" s="9" t="s">
        <v>40</v>
      </c>
      <c r="E140" s="9">
        <v>0.14</v>
      </c>
      <c r="F140" s="5">
        <v>3.46</v>
      </c>
      <c r="G140" s="5">
        <v>0.5</v>
      </c>
      <c r="H140" s="5">
        <v>0.13</v>
      </c>
      <c r="I140" s="5">
        <v>0.15</v>
      </c>
      <c r="J140" s="5">
        <v>0.14</v>
      </c>
      <c r="K140" s="5">
        <v>0.2</v>
      </c>
      <c r="L140" s="5">
        <v>0.13</v>
      </c>
      <c r="M140" s="5">
        <v>0.2</v>
      </c>
      <c r="N140" s="5">
        <v>0.12</v>
      </c>
      <c r="O140" s="5">
        <v>0.2</v>
      </c>
      <c r="P140" s="5">
        <v>0.117</v>
      </c>
      <c r="Q140" s="62">
        <v>0.2</v>
      </c>
      <c r="R140" s="62">
        <v>0.116</v>
      </c>
      <c r="S140" s="63">
        <v>0.2</v>
      </c>
      <c r="T140" s="20"/>
    </row>
    <row r="141" spans="3:20" ht="37.5">
      <c r="C141" s="23" t="s">
        <v>39</v>
      </c>
      <c r="D141" s="9" t="s">
        <v>26</v>
      </c>
      <c r="E141" s="9">
        <v>7.52</v>
      </c>
      <c r="F141" s="5" t="s">
        <v>224</v>
      </c>
      <c r="G141" s="5">
        <f>G140/104.9/F140*10000</f>
        <v>13.775850383244157</v>
      </c>
      <c r="H141" s="5">
        <f>H140/G140/105*10000</f>
        <v>24.761904761904763</v>
      </c>
      <c r="I141" s="5">
        <f>I140/105.2/G140*10000</f>
        <v>28.517110266159694</v>
      </c>
      <c r="J141" s="5">
        <f>J140/104.4/H140*10000</f>
        <v>103.1535514294135</v>
      </c>
      <c r="K141" s="5">
        <f>K140/104.7/I140*10000</f>
        <v>127.34797835084369</v>
      </c>
      <c r="L141" s="5">
        <f>L140/104.2/J140*10000</f>
        <v>89.11434055387988</v>
      </c>
      <c r="M141" s="5">
        <f>M140/104.2/K140*10000</f>
        <v>95.96928982725528</v>
      </c>
      <c r="N141" s="5">
        <f>N140/104.3/L140*10000</f>
        <v>88.50210192492072</v>
      </c>
      <c r="O141" s="5">
        <f>O140/104.8/M140*10000</f>
        <v>95.41984732824427</v>
      </c>
      <c r="P141" s="5">
        <f>P140/104.4/N140*10000</f>
        <v>93.39080459770113</v>
      </c>
      <c r="Q141" s="67">
        <f>Q140/104.8/O140*10000</f>
        <v>95.41984732824427</v>
      </c>
      <c r="R141" s="67">
        <f>R140/104.4/P140*10000</f>
        <v>94.96676163342829</v>
      </c>
      <c r="S141" s="68">
        <f>S140/104.9/Q140*10000</f>
        <v>95.32888465204955</v>
      </c>
      <c r="T141" s="20"/>
    </row>
    <row r="142" spans="3:20" ht="42" customHeight="1">
      <c r="C142" s="24" t="s">
        <v>127</v>
      </c>
      <c r="D142" s="9" t="s">
        <v>40</v>
      </c>
      <c r="E142" s="9">
        <v>1.68</v>
      </c>
      <c r="F142" s="5">
        <v>1.51</v>
      </c>
      <c r="G142" s="5">
        <v>0.5</v>
      </c>
      <c r="H142" s="5">
        <v>0.43</v>
      </c>
      <c r="I142" s="5">
        <v>0.45</v>
      </c>
      <c r="J142" s="5">
        <v>0.42</v>
      </c>
      <c r="K142" s="5">
        <v>0.45</v>
      </c>
      <c r="L142" s="5">
        <v>0.412</v>
      </c>
      <c r="M142" s="5">
        <v>0.45</v>
      </c>
      <c r="N142" s="5">
        <v>0.408</v>
      </c>
      <c r="O142" s="5">
        <v>0.452</v>
      </c>
      <c r="P142" s="5">
        <v>0.408</v>
      </c>
      <c r="Q142" s="62">
        <v>0.456</v>
      </c>
      <c r="R142" s="62">
        <v>0.413</v>
      </c>
      <c r="S142" s="63">
        <v>0.465</v>
      </c>
      <c r="T142" s="20"/>
    </row>
    <row r="143" spans="3:20" ht="37.5">
      <c r="C143" s="23" t="s">
        <v>39</v>
      </c>
      <c r="D143" s="9" t="s">
        <v>26</v>
      </c>
      <c r="E143" s="9">
        <v>74.96</v>
      </c>
      <c r="F143" s="5">
        <f>F142/103.7/E142*10000</f>
        <v>86.67401386784222</v>
      </c>
      <c r="G143" s="5">
        <f>G142/104.9/F142*10000</f>
        <v>31.565855845049523</v>
      </c>
      <c r="H143" s="5">
        <f>H142/105/G142*10000</f>
        <v>81.90476190476191</v>
      </c>
      <c r="I143" s="5">
        <f>I142/105.2/G142*10000</f>
        <v>85.55133079847909</v>
      </c>
      <c r="J143" s="5">
        <f>J142/104.4/H142*10000</f>
        <v>93.55787222667736</v>
      </c>
      <c r="K143" s="5">
        <f>K142/104.7/I142*10000</f>
        <v>95.51098376313277</v>
      </c>
      <c r="L143" s="5">
        <f>L142/104.2/J142*10000</f>
        <v>94.14130335435516</v>
      </c>
      <c r="M143" s="5">
        <f>M142/104.5/K142*10000</f>
        <v>95.69377990430621</v>
      </c>
      <c r="N143" s="5">
        <f>N142/104.3/L142*10000</f>
        <v>94.94642973498777</v>
      </c>
      <c r="O143" s="5">
        <f>O142/104.8/M142*10000</f>
        <v>95.84393553859204</v>
      </c>
      <c r="P143" s="5">
        <f>P142/104.4/N142*10000</f>
        <v>95.78544061302681</v>
      </c>
      <c r="Q143" s="67">
        <f>Q142/104.8/O142*10000</f>
        <v>96.26427075592785</v>
      </c>
      <c r="R143" s="67">
        <f>R142/104.4/P142*10000</f>
        <v>96.95928179700998</v>
      </c>
      <c r="S143" s="68">
        <f>S142/104.9/Q142*10000</f>
        <v>97.21037579649791</v>
      </c>
      <c r="T143" s="20"/>
    </row>
    <row r="144" spans="3:20" ht="39.75" customHeight="1">
      <c r="C144" s="23" t="s">
        <v>128</v>
      </c>
      <c r="D144" s="9" t="s">
        <v>40</v>
      </c>
      <c r="E144" s="9">
        <v>1.06</v>
      </c>
      <c r="F144" s="5">
        <v>1.1</v>
      </c>
      <c r="G144" s="5">
        <v>0.7</v>
      </c>
      <c r="H144" s="5">
        <v>0.56</v>
      </c>
      <c r="I144" s="5">
        <v>0.6</v>
      </c>
      <c r="J144" s="5">
        <v>0.54</v>
      </c>
      <c r="K144" s="5">
        <v>0.6</v>
      </c>
      <c r="L144" s="5">
        <v>0.53</v>
      </c>
      <c r="M144" s="5">
        <v>0.6</v>
      </c>
      <c r="N144" s="5">
        <v>0.525</v>
      </c>
      <c r="O144" s="5">
        <v>0.6</v>
      </c>
      <c r="P144" s="5">
        <v>0.522</v>
      </c>
      <c r="Q144" s="67">
        <v>0.603</v>
      </c>
      <c r="R144" s="67">
        <v>0.518</v>
      </c>
      <c r="S144" s="68">
        <v>0.604</v>
      </c>
      <c r="T144" s="20"/>
    </row>
    <row r="145" spans="3:20" ht="39.75" customHeight="1">
      <c r="C145" s="23" t="s">
        <v>39</v>
      </c>
      <c r="D145" s="9" t="s">
        <v>26</v>
      </c>
      <c r="E145" s="9">
        <v>54.43</v>
      </c>
      <c r="F145" s="5">
        <f>F144/103.7/E144*10000</f>
        <v>100.0709594075799</v>
      </c>
      <c r="G145" s="5">
        <f>G144/104.9/F144*10000</f>
        <v>60.6638356876679</v>
      </c>
      <c r="H145" s="5">
        <f>H144/105/G144*10000</f>
        <v>76.1904761904762</v>
      </c>
      <c r="I145" s="5">
        <f>I144/105.2/G144*10000</f>
        <v>81.47745790331342</v>
      </c>
      <c r="J145" s="5">
        <f>J144/104.4/H144*10000</f>
        <v>92.36453201970443</v>
      </c>
      <c r="K145" s="5">
        <f>K144/104.7/I144*10000</f>
        <v>95.51098376313277</v>
      </c>
      <c r="L145" s="5">
        <f>L144/104.2/J144*10000</f>
        <v>94.19208075638018</v>
      </c>
      <c r="M145" s="5">
        <f>M144/104.5/K144*10000</f>
        <v>95.69377990430621</v>
      </c>
      <c r="N145" s="5">
        <f>N144/104.3/L144*10000</f>
        <v>94.97277447131823</v>
      </c>
      <c r="O145" s="5">
        <f>O144/104.8/M144*10000</f>
        <v>95.41984732824427</v>
      </c>
      <c r="P145" s="5">
        <f>P144/104.4/N144*10000</f>
        <v>95.23809523809523</v>
      </c>
      <c r="Q145" s="67">
        <f>Q144/104.8/O144*10000</f>
        <v>95.89694656488548</v>
      </c>
      <c r="R145" s="67">
        <f>R144/104.4/P144*10000</f>
        <v>95.05145256235227</v>
      </c>
      <c r="S145" s="68">
        <f>S144/104.9/Q144*10000</f>
        <v>95.48697567137303</v>
      </c>
      <c r="T145" s="20"/>
    </row>
    <row r="146" spans="3:20" ht="39.75" customHeight="1">
      <c r="C146" s="23" t="s">
        <v>129</v>
      </c>
      <c r="D146" s="9" t="s">
        <v>40</v>
      </c>
      <c r="E146" s="9">
        <v>0.32</v>
      </c>
      <c r="F146" s="5">
        <v>0.25</v>
      </c>
      <c r="G146" s="5">
        <v>3.92</v>
      </c>
      <c r="H146" s="5">
        <v>0.2</v>
      </c>
      <c r="I146" s="5">
        <v>0.22</v>
      </c>
      <c r="J146" s="5">
        <v>0.19</v>
      </c>
      <c r="K146" s="5">
        <v>0.22</v>
      </c>
      <c r="L146" s="5">
        <v>0.18</v>
      </c>
      <c r="M146" s="5">
        <v>0.22</v>
      </c>
      <c r="N146" s="5">
        <v>0.178</v>
      </c>
      <c r="O146" s="5">
        <v>0.22</v>
      </c>
      <c r="P146" s="5">
        <v>0.176</v>
      </c>
      <c r="Q146" s="62">
        <v>0.22</v>
      </c>
      <c r="R146" s="62">
        <v>0.175</v>
      </c>
      <c r="S146" s="63">
        <v>0.22</v>
      </c>
      <c r="T146" s="20"/>
    </row>
    <row r="147" spans="3:20" ht="39.75" customHeight="1">
      <c r="C147" s="23" t="s">
        <v>39</v>
      </c>
      <c r="D147" s="9" t="s">
        <v>26</v>
      </c>
      <c r="E147" s="9">
        <v>0</v>
      </c>
      <c r="F147" s="5">
        <f>F146/103.7/E146*10000</f>
        <v>75.33751205400192</v>
      </c>
      <c r="G147" s="5" t="s">
        <v>223</v>
      </c>
      <c r="H147" s="5">
        <f>H146/105/G146*10000</f>
        <v>4.8590864917395535</v>
      </c>
      <c r="I147" s="5">
        <f>I146/105.2/G146*10000</f>
        <v>5.334833553193141</v>
      </c>
      <c r="J147" s="5">
        <f>J146/104.4/H146*10000</f>
        <v>90.99616858237546</v>
      </c>
      <c r="K147" s="5">
        <f>K146/104.7/I146*10000</f>
        <v>95.51098376313277</v>
      </c>
      <c r="L147" s="5">
        <f>L146/104.2/J146*10000</f>
        <v>90.91827457318921</v>
      </c>
      <c r="M147" s="5">
        <f>M146/104.5/K146*10000</f>
        <v>95.69377990430621</v>
      </c>
      <c r="N147" s="5">
        <f>N146/104.3/L146*10000</f>
        <v>94.8119740066049</v>
      </c>
      <c r="O147" s="5">
        <f>O146/104.8/M146*10000</f>
        <v>95.41984732824427</v>
      </c>
      <c r="P147" s="5">
        <f>P146/104.4/N146*10000</f>
        <v>94.70919970726247</v>
      </c>
      <c r="Q147" s="67">
        <f>Q146/104.8/O146*10000</f>
        <v>95.41984732824427</v>
      </c>
      <c r="R147" s="67">
        <f>R146/104.4/P146*10000</f>
        <v>95.24120515499826</v>
      </c>
      <c r="S147" s="68">
        <f>S146/104.9/Q146*10000</f>
        <v>95.32888465204955</v>
      </c>
      <c r="T147" s="20"/>
    </row>
    <row r="148" spans="3:20" ht="48.75" customHeight="1">
      <c r="C148" s="23" t="s">
        <v>130</v>
      </c>
      <c r="D148" s="9" t="s">
        <v>40</v>
      </c>
      <c r="E148" s="9">
        <v>0</v>
      </c>
      <c r="F148" s="5">
        <v>0</v>
      </c>
      <c r="G148" s="5">
        <v>0.05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62">
        <v>0</v>
      </c>
      <c r="R148" s="62">
        <v>0</v>
      </c>
      <c r="S148" s="63">
        <v>0</v>
      </c>
      <c r="T148" s="20"/>
    </row>
    <row r="149" spans="3:20" ht="37.5">
      <c r="C149" s="23" t="s">
        <v>39</v>
      </c>
      <c r="D149" s="9" t="s">
        <v>26</v>
      </c>
      <c r="E149" s="9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20"/>
    </row>
    <row r="150" spans="3:20" ht="101.25" customHeight="1">
      <c r="C150" s="10" t="s">
        <v>41</v>
      </c>
      <c r="D150" s="4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8"/>
      <c r="R150" s="18"/>
      <c r="S150" s="19"/>
      <c r="T150" s="20"/>
    </row>
    <row r="151" spans="3:20" ht="18.75">
      <c r="C151" s="7" t="s">
        <v>42</v>
      </c>
      <c r="D151" s="4" t="s">
        <v>227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67">
        <v>0</v>
      </c>
      <c r="R151" s="67">
        <v>0</v>
      </c>
      <c r="S151" s="68">
        <v>0</v>
      </c>
      <c r="T151" s="20"/>
    </row>
    <row r="152" spans="3:20" ht="18.75">
      <c r="C152" s="7" t="s">
        <v>44</v>
      </c>
      <c r="D152" s="4" t="s">
        <v>43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20"/>
    </row>
    <row r="153" spans="3:20" ht="18.75">
      <c r="C153" s="6" t="s">
        <v>45</v>
      </c>
      <c r="D153" s="4" t="s">
        <v>43</v>
      </c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2"/>
      <c r="R153" s="62"/>
      <c r="S153" s="63"/>
      <c r="T153" s="20"/>
    </row>
    <row r="154" spans="3:20" ht="37.5">
      <c r="C154" s="6" t="s">
        <v>46</v>
      </c>
      <c r="D154" s="4" t="s">
        <v>43</v>
      </c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2"/>
      <c r="R154" s="62"/>
      <c r="S154" s="63"/>
      <c r="T154" s="20"/>
    </row>
    <row r="155" spans="3:20" ht="18.75">
      <c r="C155" s="6" t="s">
        <v>47</v>
      </c>
      <c r="D155" s="4" t="s">
        <v>43</v>
      </c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2"/>
      <c r="R155" s="62"/>
      <c r="S155" s="63"/>
      <c r="T155" s="20"/>
    </row>
    <row r="156" spans="3:20" ht="18.75">
      <c r="C156" s="6" t="s">
        <v>48</v>
      </c>
      <c r="D156" s="4" t="s">
        <v>43</v>
      </c>
      <c r="E156" s="4">
        <v>3.78</v>
      </c>
      <c r="F156" s="5">
        <v>8.95</v>
      </c>
      <c r="G156" s="5">
        <v>4.93</v>
      </c>
      <c r="H156" s="5">
        <v>0.72</v>
      </c>
      <c r="I156" s="5">
        <v>0.82</v>
      </c>
      <c r="J156" s="5">
        <f>K156*87.755/100</f>
        <v>0.7634685</v>
      </c>
      <c r="K156" s="5">
        <f>K158+K159+K160</f>
        <v>0.8700000000000001</v>
      </c>
      <c r="L156" s="5">
        <f>M156*97.336/100</f>
        <v>0.8468232</v>
      </c>
      <c r="M156" s="5">
        <v>0.87</v>
      </c>
      <c r="N156" s="5">
        <f>O156*96.742/100</f>
        <v>0.8416554</v>
      </c>
      <c r="O156" s="5">
        <v>0.87</v>
      </c>
      <c r="P156" s="5">
        <v>0.83</v>
      </c>
      <c r="Q156" s="62">
        <v>0.88</v>
      </c>
      <c r="R156" s="67">
        <v>0.83</v>
      </c>
      <c r="S156" s="63">
        <v>0.89</v>
      </c>
      <c r="T156" s="20"/>
    </row>
    <row r="157" spans="3:20" ht="18.75">
      <c r="C157" s="6" t="s">
        <v>17</v>
      </c>
      <c r="D157" s="4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2"/>
      <c r="R157" s="67"/>
      <c r="S157" s="63"/>
      <c r="T157" s="20"/>
    </row>
    <row r="158" spans="3:20" ht="18.75">
      <c r="C158" s="7" t="s">
        <v>49</v>
      </c>
      <c r="D158" s="4" t="s">
        <v>43</v>
      </c>
      <c r="E158" s="4">
        <v>0.95</v>
      </c>
      <c r="F158" s="5">
        <v>0.03</v>
      </c>
      <c r="G158" s="5">
        <v>2.78</v>
      </c>
      <c r="H158" s="5">
        <f>I158*99.1/100</f>
        <v>0.13874</v>
      </c>
      <c r="I158" s="5">
        <v>0.14</v>
      </c>
      <c r="J158" s="5">
        <f>K158*98.335/100</f>
        <v>0.13766899999999999</v>
      </c>
      <c r="K158" s="5">
        <v>0.14</v>
      </c>
      <c r="L158" s="5">
        <f>M158*97.336/100</f>
        <v>0.1362704</v>
      </c>
      <c r="M158" s="5">
        <v>0.14</v>
      </c>
      <c r="N158" s="5">
        <f>O158*96.742/100</f>
        <v>0.13543880000000003</v>
      </c>
      <c r="O158" s="5">
        <v>0.14</v>
      </c>
      <c r="P158" s="5">
        <v>0.14</v>
      </c>
      <c r="Q158" s="62">
        <v>0.14</v>
      </c>
      <c r="R158" s="67">
        <v>0.14</v>
      </c>
      <c r="S158" s="63">
        <v>0.14</v>
      </c>
      <c r="T158" s="20"/>
    </row>
    <row r="159" spans="3:20" ht="37.5">
      <c r="C159" s="7" t="s">
        <v>50</v>
      </c>
      <c r="D159" s="4" t="s">
        <v>43</v>
      </c>
      <c r="E159" s="4">
        <v>2.15</v>
      </c>
      <c r="F159" s="5">
        <v>5.57</v>
      </c>
      <c r="G159" s="5">
        <v>0.96</v>
      </c>
      <c r="H159" s="5">
        <f>I159*99.1/100</f>
        <v>0.06937</v>
      </c>
      <c r="I159" s="5">
        <v>0.07</v>
      </c>
      <c r="J159" s="5">
        <f>K159*98.335/100</f>
        <v>0.06883449999999999</v>
      </c>
      <c r="K159" s="5">
        <v>0.07</v>
      </c>
      <c r="L159" s="5">
        <f>M159*97.336/100</f>
        <v>0.0681352</v>
      </c>
      <c r="M159" s="5">
        <v>0.07</v>
      </c>
      <c r="N159" s="5">
        <f>O159*96.742/100</f>
        <v>0.06771940000000001</v>
      </c>
      <c r="O159" s="5">
        <v>0.07</v>
      </c>
      <c r="P159" s="5">
        <f>Q159*83.333/100</f>
        <v>0.058333100000000006</v>
      </c>
      <c r="Q159" s="62">
        <v>0.07</v>
      </c>
      <c r="R159" s="67">
        <f>S159*82.575/100</f>
        <v>0.05780250000000001</v>
      </c>
      <c r="S159" s="63">
        <v>0.07</v>
      </c>
      <c r="T159" s="20"/>
    </row>
    <row r="160" spans="3:20" ht="19.5" customHeight="1">
      <c r="C160" s="7" t="s">
        <v>51</v>
      </c>
      <c r="D160" s="4" t="s">
        <v>43</v>
      </c>
      <c r="E160" s="4">
        <v>0.68</v>
      </c>
      <c r="F160" s="5">
        <v>3.35</v>
      </c>
      <c r="G160" s="5">
        <v>1.19</v>
      </c>
      <c r="H160" s="5">
        <f>I160*99.1/100</f>
        <v>0.6045099999999999</v>
      </c>
      <c r="I160" s="5">
        <v>0.61</v>
      </c>
      <c r="J160" s="5">
        <f>K160*98.335/100</f>
        <v>0.649011</v>
      </c>
      <c r="K160" s="5">
        <v>0.66</v>
      </c>
      <c r="L160" s="5">
        <f>M160*97.336/100</f>
        <v>0.6424176</v>
      </c>
      <c r="M160" s="5">
        <v>0.66</v>
      </c>
      <c r="N160" s="5">
        <f>O160*96.742/100</f>
        <v>0.6384972000000001</v>
      </c>
      <c r="O160" s="5">
        <v>0.66</v>
      </c>
      <c r="P160" s="5">
        <v>0.63</v>
      </c>
      <c r="Q160" s="62">
        <v>0.67</v>
      </c>
      <c r="R160" s="67">
        <v>0.63</v>
      </c>
      <c r="S160" s="63">
        <v>0.68</v>
      </c>
      <c r="T160" s="20"/>
    </row>
    <row r="161" spans="3:20" ht="19.5" customHeight="1">
      <c r="C161" s="6" t="s">
        <v>52</v>
      </c>
      <c r="D161" s="4" t="s">
        <v>43</v>
      </c>
      <c r="E161" s="4">
        <v>13.84</v>
      </c>
      <c r="F161" s="5">
        <v>2.5</v>
      </c>
      <c r="G161" s="5">
        <v>0.74</v>
      </c>
      <c r="H161" s="5">
        <f>I161*99.1/100</f>
        <v>0.5945999999999999</v>
      </c>
      <c r="I161" s="5">
        <v>0.6</v>
      </c>
      <c r="J161" s="5">
        <f>K161*98.335/100</f>
        <v>0.5900099999999999</v>
      </c>
      <c r="K161" s="5">
        <v>0.6</v>
      </c>
      <c r="L161" s="5">
        <v>0.4</v>
      </c>
      <c r="M161" s="5">
        <v>0.6</v>
      </c>
      <c r="N161" s="5">
        <v>0.39</v>
      </c>
      <c r="O161" s="5">
        <v>0.6</v>
      </c>
      <c r="P161" s="5">
        <v>0.39</v>
      </c>
      <c r="Q161" s="62">
        <v>0.6</v>
      </c>
      <c r="R161" s="67">
        <v>0.39</v>
      </c>
      <c r="S161" s="63">
        <v>0.6</v>
      </c>
      <c r="T161" s="20"/>
    </row>
    <row r="162" spans="3:20" ht="37.5" customHeight="1">
      <c r="C162" s="7" t="s">
        <v>53</v>
      </c>
      <c r="D162" s="4" t="s">
        <v>43</v>
      </c>
      <c r="E162" s="4">
        <v>12.67</v>
      </c>
      <c r="F162" s="5">
        <v>9.5</v>
      </c>
      <c r="G162" s="5">
        <v>23</v>
      </c>
      <c r="H162" s="5">
        <v>1</v>
      </c>
      <c r="I162" s="5">
        <v>1.3</v>
      </c>
      <c r="J162" s="5">
        <v>1</v>
      </c>
      <c r="K162" s="5">
        <v>1.3</v>
      </c>
      <c r="L162" s="5">
        <v>1.1</v>
      </c>
      <c r="M162" s="5">
        <v>1.35</v>
      </c>
      <c r="N162" s="5">
        <v>1</v>
      </c>
      <c r="O162" s="5">
        <v>1.2</v>
      </c>
      <c r="P162" s="5">
        <v>1.2</v>
      </c>
      <c r="Q162" s="62">
        <v>1.4</v>
      </c>
      <c r="R162" s="62">
        <v>1.3</v>
      </c>
      <c r="S162" s="63">
        <v>1.4</v>
      </c>
      <c r="T162" s="20"/>
    </row>
    <row r="163" spans="3:20" ht="37.5">
      <c r="C163" s="7" t="s">
        <v>191</v>
      </c>
      <c r="D163" s="4" t="s">
        <v>43</v>
      </c>
      <c r="E163" s="4">
        <v>15.62</v>
      </c>
      <c r="F163" s="5">
        <v>11.34</v>
      </c>
      <c r="G163" s="5">
        <v>8.5</v>
      </c>
      <c r="H163" s="5">
        <v>0.98</v>
      </c>
      <c r="I163" s="5">
        <v>0.95</v>
      </c>
      <c r="J163" s="5">
        <v>0.97</v>
      </c>
      <c r="K163" s="5">
        <v>0.94</v>
      </c>
      <c r="L163" s="5">
        <v>0.96</v>
      </c>
      <c r="M163" s="5">
        <v>0.93</v>
      </c>
      <c r="N163" s="5">
        <v>0.95</v>
      </c>
      <c r="O163" s="5">
        <v>0.92</v>
      </c>
      <c r="P163" s="5">
        <v>0.94</v>
      </c>
      <c r="Q163" s="62">
        <v>0.9</v>
      </c>
      <c r="R163" s="62">
        <v>0.92</v>
      </c>
      <c r="S163" s="63">
        <v>0.88</v>
      </c>
      <c r="T163" s="20"/>
    </row>
    <row r="164" spans="3:20" ht="61.5" customHeight="1">
      <c r="C164" s="7" t="s">
        <v>192</v>
      </c>
      <c r="D164" s="4" t="s">
        <v>43</v>
      </c>
      <c r="E164" s="4">
        <v>860.61</v>
      </c>
      <c r="F164" s="5">
        <v>858.77</v>
      </c>
      <c r="G164" s="5">
        <f aca="true" t="shared" si="33" ref="G164:S164">F164+G162-G163</f>
        <v>873.27</v>
      </c>
      <c r="H164" s="5">
        <f t="shared" si="33"/>
        <v>873.29</v>
      </c>
      <c r="I164" s="5">
        <f t="shared" si="33"/>
        <v>873.6399999999999</v>
      </c>
      <c r="J164" s="5">
        <f t="shared" si="33"/>
        <v>873.6699999999998</v>
      </c>
      <c r="K164" s="5">
        <f t="shared" si="33"/>
        <v>874.0299999999997</v>
      </c>
      <c r="L164" s="5">
        <f t="shared" si="33"/>
        <v>874.1699999999997</v>
      </c>
      <c r="M164" s="5">
        <f t="shared" si="33"/>
        <v>874.5899999999998</v>
      </c>
      <c r="N164" s="5">
        <f t="shared" si="33"/>
        <v>874.6399999999998</v>
      </c>
      <c r="O164" s="5">
        <f t="shared" si="33"/>
        <v>874.9199999999998</v>
      </c>
      <c r="P164" s="5">
        <f t="shared" si="33"/>
        <v>875.1799999999998</v>
      </c>
      <c r="Q164" s="5">
        <f t="shared" si="33"/>
        <v>875.6799999999998</v>
      </c>
      <c r="R164" s="5">
        <f t="shared" si="33"/>
        <v>876.0599999999998</v>
      </c>
      <c r="S164" s="5">
        <f t="shared" si="33"/>
        <v>876.5799999999998</v>
      </c>
      <c r="T164" s="20"/>
    </row>
    <row r="165" spans="3:20" ht="37.5">
      <c r="C165" s="7" t="s">
        <v>54</v>
      </c>
      <c r="D165" s="9" t="s">
        <v>29</v>
      </c>
      <c r="E165" s="9">
        <v>1.4</v>
      </c>
      <c r="F165" s="5">
        <v>1.1</v>
      </c>
      <c r="G165" s="5">
        <f aca="true" t="shared" si="34" ref="G165:S165">G162/G164*100</f>
        <v>2.6337787854844437</v>
      </c>
      <c r="H165" s="5">
        <f t="shared" si="34"/>
        <v>0.11450949856290579</v>
      </c>
      <c r="I165" s="5">
        <f t="shared" si="34"/>
        <v>0.14880271049860358</v>
      </c>
      <c r="J165" s="5">
        <f t="shared" si="34"/>
        <v>0.11445969301910335</v>
      </c>
      <c r="K165" s="5">
        <f t="shared" si="34"/>
        <v>0.14873631339885365</v>
      </c>
      <c r="L165" s="5">
        <f t="shared" si="34"/>
        <v>0.12583364791745316</v>
      </c>
      <c r="M165" s="5">
        <f t="shared" si="34"/>
        <v>0.15435804205399106</v>
      </c>
      <c r="N165" s="5">
        <f t="shared" si="34"/>
        <v>0.11433275404737953</v>
      </c>
      <c r="O165" s="5">
        <f t="shared" si="34"/>
        <v>0.1371553970648745</v>
      </c>
      <c r="P165" s="5">
        <f t="shared" si="34"/>
        <v>0.13711465070042736</v>
      </c>
      <c r="Q165" s="5">
        <f t="shared" si="34"/>
        <v>0.15987575369998175</v>
      </c>
      <c r="R165" s="5">
        <f t="shared" si="34"/>
        <v>0.14839166267150655</v>
      </c>
      <c r="S165" s="5">
        <f t="shared" si="34"/>
        <v>0.15971160647060167</v>
      </c>
      <c r="T165" s="20"/>
    </row>
    <row r="166" spans="3:20" ht="93.75">
      <c r="C166" s="3" t="s">
        <v>107</v>
      </c>
      <c r="D166" s="4" t="s">
        <v>6</v>
      </c>
      <c r="E166" s="4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20"/>
    </row>
    <row r="167" spans="3:20" ht="18.75">
      <c r="C167" s="6" t="s">
        <v>55</v>
      </c>
      <c r="D167" s="4"/>
      <c r="E167" s="4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20"/>
    </row>
    <row r="168" spans="3:20" ht="27" customHeight="1">
      <c r="C168" s="6" t="s">
        <v>56</v>
      </c>
      <c r="D168" s="4" t="s">
        <v>6</v>
      </c>
      <c r="E168" s="4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20"/>
    </row>
    <row r="169" spans="3:20" ht="37.5">
      <c r="C169" s="6" t="s">
        <v>57</v>
      </c>
      <c r="D169" s="4" t="s">
        <v>6</v>
      </c>
      <c r="E169" s="4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20"/>
    </row>
    <row r="170" spans="3:20" ht="18.75">
      <c r="C170" s="21" t="s">
        <v>206</v>
      </c>
      <c r="D170" s="15"/>
      <c r="E170" s="1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18"/>
      <c r="R170" s="18"/>
      <c r="S170" s="19"/>
      <c r="T170" s="20"/>
    </row>
    <row r="171" spans="3:20" ht="37.5">
      <c r="C171" s="82" t="s">
        <v>232</v>
      </c>
      <c r="D171" s="15"/>
      <c r="E171" s="1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18"/>
      <c r="R171" s="18"/>
      <c r="S171" s="19"/>
      <c r="T171" s="20"/>
    </row>
    <row r="172" spans="3:20" ht="18.75">
      <c r="C172" s="83" t="s">
        <v>143</v>
      </c>
      <c r="D172" s="4" t="s">
        <v>227</v>
      </c>
      <c r="E172" s="81">
        <v>0</v>
      </c>
      <c r="F172" s="81">
        <v>0</v>
      </c>
      <c r="G172" s="81">
        <v>0</v>
      </c>
      <c r="H172" s="81">
        <v>0</v>
      </c>
      <c r="I172" s="81">
        <v>0</v>
      </c>
      <c r="J172" s="81">
        <v>0</v>
      </c>
      <c r="K172" s="81">
        <v>0</v>
      </c>
      <c r="L172" s="81">
        <v>0</v>
      </c>
      <c r="M172" s="81">
        <v>0</v>
      </c>
      <c r="N172" s="81">
        <v>0</v>
      </c>
      <c r="O172" s="81">
        <v>0</v>
      </c>
      <c r="P172" s="81">
        <v>0</v>
      </c>
      <c r="Q172" s="81">
        <v>0</v>
      </c>
      <c r="R172" s="81">
        <v>0</v>
      </c>
      <c r="S172" s="81">
        <v>0</v>
      </c>
      <c r="T172" s="20"/>
    </row>
    <row r="173" spans="3:20" ht="18.75">
      <c r="C173" s="83" t="s">
        <v>144</v>
      </c>
      <c r="D173" s="4" t="s">
        <v>227</v>
      </c>
      <c r="E173" s="81">
        <v>0</v>
      </c>
      <c r="F173" s="81">
        <v>0</v>
      </c>
      <c r="G173" s="81">
        <v>0</v>
      </c>
      <c r="H173" s="81">
        <v>0</v>
      </c>
      <c r="I173" s="81">
        <v>0</v>
      </c>
      <c r="J173" s="81">
        <v>0</v>
      </c>
      <c r="K173" s="81">
        <v>0</v>
      </c>
      <c r="L173" s="81">
        <v>0</v>
      </c>
      <c r="M173" s="81">
        <v>0</v>
      </c>
      <c r="N173" s="81">
        <v>0</v>
      </c>
      <c r="O173" s="81">
        <v>0</v>
      </c>
      <c r="P173" s="81">
        <v>0</v>
      </c>
      <c r="Q173" s="81">
        <v>0</v>
      </c>
      <c r="R173" s="81">
        <v>0</v>
      </c>
      <c r="S173" s="81">
        <v>0</v>
      </c>
      <c r="T173" s="20"/>
    </row>
    <row r="174" spans="3:20" ht="37.5">
      <c r="C174" s="83" t="s">
        <v>145</v>
      </c>
      <c r="D174" s="15" t="s">
        <v>227</v>
      </c>
      <c r="E174" s="75">
        <v>135</v>
      </c>
      <c r="F174" s="84">
        <v>1250.8</v>
      </c>
      <c r="G174" s="84">
        <v>980</v>
      </c>
      <c r="H174" s="84">
        <v>870</v>
      </c>
      <c r="I174" s="84">
        <v>870</v>
      </c>
      <c r="J174" s="84">
        <v>790</v>
      </c>
      <c r="K174" s="84">
        <v>790</v>
      </c>
      <c r="L174" s="84">
        <v>710</v>
      </c>
      <c r="M174" s="84">
        <v>710</v>
      </c>
      <c r="N174" s="84">
        <v>710</v>
      </c>
      <c r="O174" s="84">
        <v>710</v>
      </c>
      <c r="P174" s="84">
        <v>710</v>
      </c>
      <c r="Q174" s="84">
        <v>710</v>
      </c>
      <c r="R174" s="84">
        <v>710</v>
      </c>
      <c r="S174" s="84">
        <v>710</v>
      </c>
      <c r="T174" s="20"/>
    </row>
    <row r="175" spans="3:20" ht="18" customHeight="1">
      <c r="C175" s="85" t="s">
        <v>152</v>
      </c>
      <c r="D175" s="15" t="s">
        <v>227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6">
        <v>0</v>
      </c>
      <c r="L175" s="86">
        <v>0</v>
      </c>
      <c r="M175" s="86">
        <v>0</v>
      </c>
      <c r="N175" s="86">
        <v>0</v>
      </c>
      <c r="O175" s="86">
        <v>0</v>
      </c>
      <c r="P175" s="86">
        <v>0</v>
      </c>
      <c r="Q175" s="86">
        <v>0</v>
      </c>
      <c r="R175" s="86">
        <v>0</v>
      </c>
      <c r="S175" s="86">
        <v>0</v>
      </c>
      <c r="T175" s="20"/>
    </row>
    <row r="176" spans="3:20" ht="18" customHeight="1">
      <c r="C176" s="85" t="s">
        <v>153</v>
      </c>
      <c r="D176" s="15" t="s">
        <v>227</v>
      </c>
      <c r="E176" s="86">
        <v>8039.3</v>
      </c>
      <c r="F176" s="86">
        <v>7566.2</v>
      </c>
      <c r="G176" s="86">
        <v>6917.6</v>
      </c>
      <c r="H176" s="86">
        <v>7497.2</v>
      </c>
      <c r="I176" s="86">
        <v>7497.2</v>
      </c>
      <c r="J176" s="86">
        <v>7935.3</v>
      </c>
      <c r="K176" s="86">
        <v>7935.3</v>
      </c>
      <c r="L176" s="86">
        <v>8413.3</v>
      </c>
      <c r="M176" s="86">
        <v>8413.3</v>
      </c>
      <c r="N176" s="86">
        <v>8413.3</v>
      </c>
      <c r="O176" s="86">
        <v>8413.3</v>
      </c>
      <c r="P176" s="86">
        <v>8413.3</v>
      </c>
      <c r="Q176" s="86">
        <v>8413.3</v>
      </c>
      <c r="R176" s="86">
        <v>8413.3</v>
      </c>
      <c r="S176" s="86">
        <v>8413.3</v>
      </c>
      <c r="T176" s="20"/>
    </row>
    <row r="177" spans="3:20" ht="18" customHeight="1">
      <c r="C177" s="85" t="s">
        <v>154</v>
      </c>
      <c r="D177" s="15" t="s">
        <v>227</v>
      </c>
      <c r="E177" s="75">
        <v>2623.5</v>
      </c>
      <c r="F177" s="84">
        <v>1998.9</v>
      </c>
      <c r="G177" s="84">
        <v>2164.3</v>
      </c>
      <c r="H177" s="84">
        <v>2428</v>
      </c>
      <c r="I177" s="84">
        <v>2428</v>
      </c>
      <c r="J177" s="84">
        <v>3283.4</v>
      </c>
      <c r="K177" s="84">
        <v>3283.4</v>
      </c>
      <c r="L177" s="84">
        <v>4732.8</v>
      </c>
      <c r="M177" s="84">
        <v>4732.8</v>
      </c>
      <c r="N177" s="84">
        <v>4732.8</v>
      </c>
      <c r="O177" s="84">
        <v>4732.8</v>
      </c>
      <c r="P177" s="84">
        <v>4732.8</v>
      </c>
      <c r="Q177" s="84">
        <v>4732.8</v>
      </c>
      <c r="R177" s="84">
        <v>4732.8</v>
      </c>
      <c r="S177" s="84">
        <v>4732.8</v>
      </c>
      <c r="T177" s="20"/>
    </row>
    <row r="178" spans="3:20" ht="22.5" customHeight="1">
      <c r="C178" s="85" t="s">
        <v>228</v>
      </c>
      <c r="D178" s="15" t="s">
        <v>227</v>
      </c>
      <c r="E178" s="86">
        <v>209.1</v>
      </c>
      <c r="F178" s="86">
        <v>324.7</v>
      </c>
      <c r="G178" s="86">
        <v>302</v>
      </c>
      <c r="H178" s="86">
        <v>235.4</v>
      </c>
      <c r="I178" s="86">
        <v>235.4</v>
      </c>
      <c r="J178" s="86">
        <v>242.4</v>
      </c>
      <c r="K178" s="86">
        <v>242.4</v>
      </c>
      <c r="L178" s="86">
        <v>250</v>
      </c>
      <c r="M178" s="86">
        <v>250</v>
      </c>
      <c r="N178" s="86">
        <v>250</v>
      </c>
      <c r="O178" s="86">
        <v>250</v>
      </c>
      <c r="P178" s="86">
        <v>250</v>
      </c>
      <c r="Q178" s="86">
        <v>250</v>
      </c>
      <c r="R178" s="86">
        <v>250</v>
      </c>
      <c r="S178" s="86">
        <v>250</v>
      </c>
      <c r="T178" s="20"/>
    </row>
    <row r="179" spans="3:20" ht="18" customHeight="1">
      <c r="C179" s="85" t="s">
        <v>155</v>
      </c>
      <c r="D179" s="15" t="s">
        <v>227</v>
      </c>
      <c r="E179" s="86">
        <v>2782.9</v>
      </c>
      <c r="F179" s="86">
        <v>3215.6</v>
      </c>
      <c r="G179" s="86">
        <v>3580.7</v>
      </c>
      <c r="H179" s="86">
        <v>3342</v>
      </c>
      <c r="I179" s="86">
        <v>3342</v>
      </c>
      <c r="J179" s="86">
        <v>3342</v>
      </c>
      <c r="K179" s="86">
        <v>3342</v>
      </c>
      <c r="L179" s="86">
        <v>3342</v>
      </c>
      <c r="M179" s="86">
        <v>3342</v>
      </c>
      <c r="N179" s="86">
        <v>3342</v>
      </c>
      <c r="O179" s="86">
        <v>3342</v>
      </c>
      <c r="P179" s="86">
        <v>3342</v>
      </c>
      <c r="Q179" s="86">
        <v>3342</v>
      </c>
      <c r="R179" s="86">
        <v>3342</v>
      </c>
      <c r="S179" s="86">
        <v>3342</v>
      </c>
      <c r="T179" s="20"/>
    </row>
    <row r="180" spans="3:20" ht="18" customHeight="1">
      <c r="C180" s="85" t="s">
        <v>146</v>
      </c>
      <c r="D180" s="15" t="s">
        <v>227</v>
      </c>
      <c r="E180" s="75">
        <v>0</v>
      </c>
      <c r="F180" s="84">
        <v>0</v>
      </c>
      <c r="G180" s="84">
        <v>0</v>
      </c>
      <c r="H180" s="84">
        <v>0</v>
      </c>
      <c r="I180" s="84">
        <v>0</v>
      </c>
      <c r="J180" s="84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  <c r="T180" s="20"/>
    </row>
    <row r="181" spans="3:20" ht="18" customHeight="1">
      <c r="C181" s="85" t="s">
        <v>147</v>
      </c>
      <c r="D181" s="15" t="s">
        <v>227</v>
      </c>
      <c r="E181" s="75">
        <v>14189.7</v>
      </c>
      <c r="F181" s="84">
        <v>15277.7</v>
      </c>
      <c r="G181" s="84">
        <v>28407.1</v>
      </c>
      <c r="H181" s="84">
        <v>12773.9</v>
      </c>
      <c r="I181" s="84">
        <v>12773.9</v>
      </c>
      <c r="J181" s="84">
        <v>9848</v>
      </c>
      <c r="K181" s="84">
        <v>9848</v>
      </c>
      <c r="L181" s="84">
        <v>9541.9</v>
      </c>
      <c r="M181" s="84">
        <v>9541.9</v>
      </c>
      <c r="N181" s="84">
        <v>9541.9</v>
      </c>
      <c r="O181" s="84">
        <v>9541.9</v>
      </c>
      <c r="P181" s="84">
        <v>9541.9</v>
      </c>
      <c r="Q181" s="84">
        <v>9541.9</v>
      </c>
      <c r="R181" s="84">
        <v>9541.9</v>
      </c>
      <c r="S181" s="84">
        <v>9541.9</v>
      </c>
      <c r="T181" s="20"/>
    </row>
    <row r="182" spans="3:20" ht="36" customHeight="1">
      <c r="C182" s="85" t="s">
        <v>148</v>
      </c>
      <c r="D182" s="15" t="s">
        <v>227</v>
      </c>
      <c r="E182" s="75">
        <v>0</v>
      </c>
      <c r="F182" s="84">
        <v>0</v>
      </c>
      <c r="G182" s="84">
        <v>0</v>
      </c>
      <c r="H182" s="84">
        <v>0</v>
      </c>
      <c r="I182" s="84">
        <v>0</v>
      </c>
      <c r="J182" s="84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0</v>
      </c>
      <c r="S182" s="84">
        <v>0</v>
      </c>
      <c r="T182" s="20"/>
    </row>
    <row r="183" spans="3:20" ht="37.5" customHeight="1">
      <c r="C183" s="87" t="s">
        <v>149</v>
      </c>
      <c r="D183" s="15" t="s">
        <v>227</v>
      </c>
      <c r="E183" s="75">
        <f>E173+E174+E176+E177+E178+E179+E180+E181+E182</f>
        <v>27979.5</v>
      </c>
      <c r="F183" s="75">
        <f>F173+F174+F176+F177+F178+F179+F180+F181+F182</f>
        <v>29633.9</v>
      </c>
      <c r="G183" s="88">
        <f>G173+G174+G176+G177+G178+G179+G180+G181+G182</f>
        <v>42351.7</v>
      </c>
      <c r="H183" s="88">
        <f aca="true" t="shared" si="35" ref="H183:M183">H173+H174+H176+H177+H178+H179+H180+H181+H182</f>
        <v>27146.5</v>
      </c>
      <c r="I183" s="88">
        <f t="shared" si="35"/>
        <v>27146.5</v>
      </c>
      <c r="J183" s="88">
        <f t="shared" si="35"/>
        <v>25441.1</v>
      </c>
      <c r="K183" s="88">
        <f t="shared" si="35"/>
        <v>25441.1</v>
      </c>
      <c r="L183" s="88">
        <f t="shared" si="35"/>
        <v>26990</v>
      </c>
      <c r="M183" s="88">
        <f t="shared" si="35"/>
        <v>26990</v>
      </c>
      <c r="N183" s="88">
        <f aca="true" t="shared" si="36" ref="N183:S183">N173+N174+N176+N177+N178+N179+N180+N181+N182</f>
        <v>26990</v>
      </c>
      <c r="O183" s="88">
        <f t="shared" si="36"/>
        <v>26990</v>
      </c>
      <c r="P183" s="88">
        <f t="shared" si="36"/>
        <v>26990</v>
      </c>
      <c r="Q183" s="88">
        <f t="shared" si="36"/>
        <v>26990</v>
      </c>
      <c r="R183" s="88">
        <f t="shared" si="36"/>
        <v>26990</v>
      </c>
      <c r="S183" s="88">
        <f t="shared" si="36"/>
        <v>26990</v>
      </c>
      <c r="T183" s="20"/>
    </row>
    <row r="184" spans="3:20" ht="37.5">
      <c r="C184" s="85" t="s">
        <v>150</v>
      </c>
      <c r="D184" s="4" t="s">
        <v>227</v>
      </c>
      <c r="E184" s="75">
        <v>0</v>
      </c>
      <c r="F184" s="75">
        <v>0</v>
      </c>
      <c r="G184" s="75">
        <v>0</v>
      </c>
      <c r="H184" s="75">
        <v>0</v>
      </c>
      <c r="I184" s="75">
        <v>0</v>
      </c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20"/>
    </row>
    <row r="185" spans="3:20" ht="19.5">
      <c r="C185" s="89" t="s">
        <v>151</v>
      </c>
      <c r="D185" s="4" t="s">
        <v>227</v>
      </c>
      <c r="E185" s="75">
        <f>E183+E184</f>
        <v>27979.5</v>
      </c>
      <c r="F185" s="75">
        <f aca="true" t="shared" si="37" ref="F185:K185">F183+F184</f>
        <v>29633.9</v>
      </c>
      <c r="G185" s="75">
        <f t="shared" si="37"/>
        <v>42351.7</v>
      </c>
      <c r="H185" s="75">
        <f t="shared" si="37"/>
        <v>27146.5</v>
      </c>
      <c r="I185" s="75">
        <f t="shared" si="37"/>
        <v>27146.5</v>
      </c>
      <c r="J185" s="75">
        <f t="shared" si="37"/>
        <v>25441.1</v>
      </c>
      <c r="K185" s="75">
        <f t="shared" si="37"/>
        <v>25441.1</v>
      </c>
      <c r="L185" s="75">
        <f aca="true" t="shared" si="38" ref="L185:S185">L183+L184</f>
        <v>26990</v>
      </c>
      <c r="M185" s="75">
        <f t="shared" si="38"/>
        <v>26990</v>
      </c>
      <c r="N185" s="75">
        <f t="shared" si="38"/>
        <v>26990</v>
      </c>
      <c r="O185" s="75">
        <f t="shared" si="38"/>
        <v>26990</v>
      </c>
      <c r="P185" s="75">
        <f t="shared" si="38"/>
        <v>26990</v>
      </c>
      <c r="Q185" s="75">
        <f t="shared" si="38"/>
        <v>26990</v>
      </c>
      <c r="R185" s="75">
        <f t="shared" si="38"/>
        <v>26990</v>
      </c>
      <c r="S185" s="75">
        <f t="shared" si="38"/>
        <v>26990</v>
      </c>
      <c r="T185" s="20"/>
    </row>
    <row r="186" spans="3:20" ht="18.75">
      <c r="C186" s="82" t="s">
        <v>231</v>
      </c>
      <c r="D186" s="4" t="s">
        <v>227</v>
      </c>
      <c r="E186" s="75">
        <f aca="true" t="shared" si="39" ref="E186:K186">E185-E187</f>
        <v>27979.5</v>
      </c>
      <c r="F186" s="75">
        <f t="shared" si="39"/>
        <v>29633.9</v>
      </c>
      <c r="G186" s="75">
        <f t="shared" si="39"/>
        <v>42351.7</v>
      </c>
      <c r="H186" s="75">
        <f t="shared" si="39"/>
        <v>27146.5</v>
      </c>
      <c r="I186" s="75">
        <f t="shared" si="39"/>
        <v>27146.5</v>
      </c>
      <c r="J186" s="75">
        <f t="shared" si="39"/>
        <v>25441.1</v>
      </c>
      <c r="K186" s="75">
        <f t="shared" si="39"/>
        <v>25441.1</v>
      </c>
      <c r="L186" s="75">
        <f aca="true" t="shared" si="40" ref="L186:S186">L185-L187</f>
        <v>26990</v>
      </c>
      <c r="M186" s="75">
        <f t="shared" si="40"/>
        <v>26990</v>
      </c>
      <c r="N186" s="75">
        <f t="shared" si="40"/>
        <v>26990</v>
      </c>
      <c r="O186" s="75">
        <f t="shared" si="40"/>
        <v>26990</v>
      </c>
      <c r="P186" s="75">
        <f t="shared" si="40"/>
        <v>26990</v>
      </c>
      <c r="Q186" s="75">
        <f t="shared" si="40"/>
        <v>26990</v>
      </c>
      <c r="R186" s="75">
        <f t="shared" si="40"/>
        <v>26990</v>
      </c>
      <c r="S186" s="75">
        <f t="shared" si="40"/>
        <v>26990</v>
      </c>
      <c r="T186" s="20"/>
    </row>
    <row r="187" spans="3:20" ht="37.5">
      <c r="C187" s="83" t="s">
        <v>156</v>
      </c>
      <c r="D187" s="4" t="s">
        <v>227</v>
      </c>
      <c r="E187" s="75">
        <v>0</v>
      </c>
      <c r="F187" s="75">
        <v>0</v>
      </c>
      <c r="G187" s="75">
        <v>0</v>
      </c>
      <c r="H187" s="75">
        <v>0</v>
      </c>
      <c r="I187" s="75">
        <v>0</v>
      </c>
      <c r="J187" s="75">
        <v>0</v>
      </c>
      <c r="K187" s="75">
        <v>0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20"/>
    </row>
    <row r="188" spans="3:20" ht="24.75" customHeight="1">
      <c r="C188" s="85" t="s">
        <v>157</v>
      </c>
      <c r="D188" s="4" t="s">
        <v>227</v>
      </c>
      <c r="E188" s="76">
        <v>3106.5</v>
      </c>
      <c r="F188" s="76">
        <v>3550.2</v>
      </c>
      <c r="G188" s="76">
        <v>3178.9</v>
      </c>
      <c r="H188" s="76">
        <v>3424</v>
      </c>
      <c r="I188" s="76">
        <v>2920</v>
      </c>
      <c r="J188" s="76">
        <v>2920</v>
      </c>
      <c r="K188" s="76">
        <v>2920</v>
      </c>
      <c r="L188" s="76">
        <v>2920</v>
      </c>
      <c r="M188" s="76">
        <v>2920</v>
      </c>
      <c r="N188" s="76">
        <v>2920</v>
      </c>
      <c r="O188" s="76">
        <v>2920</v>
      </c>
      <c r="P188" s="76">
        <v>2920</v>
      </c>
      <c r="Q188" s="76">
        <v>2920</v>
      </c>
      <c r="R188" s="76">
        <v>2920</v>
      </c>
      <c r="S188" s="76">
        <v>2920</v>
      </c>
      <c r="T188" s="20"/>
    </row>
    <row r="189" spans="3:20" ht="18.75">
      <c r="C189" s="85" t="s">
        <v>158</v>
      </c>
      <c r="D189" s="4" t="s">
        <v>227</v>
      </c>
      <c r="E189" s="76">
        <v>267</v>
      </c>
      <c r="F189" s="76">
        <v>169.1</v>
      </c>
      <c r="G189" s="76">
        <v>206.6</v>
      </c>
      <c r="H189" s="76">
        <v>224.8</v>
      </c>
      <c r="I189" s="76">
        <v>224.8</v>
      </c>
      <c r="J189" s="76">
        <v>224.8</v>
      </c>
      <c r="K189" s="76">
        <v>224.8</v>
      </c>
      <c r="L189" s="76">
        <v>224.8</v>
      </c>
      <c r="M189" s="76">
        <v>224.8</v>
      </c>
      <c r="N189" s="76">
        <v>224.8</v>
      </c>
      <c r="O189" s="76">
        <v>224.8</v>
      </c>
      <c r="P189" s="76">
        <v>224.8</v>
      </c>
      <c r="Q189" s="76">
        <v>224.8</v>
      </c>
      <c r="R189" s="76">
        <v>224.8</v>
      </c>
      <c r="S189" s="76">
        <v>224.8</v>
      </c>
      <c r="T189" s="20"/>
    </row>
    <row r="190" spans="3:20" ht="37.5">
      <c r="C190" s="85" t="s">
        <v>162</v>
      </c>
      <c r="D190" s="4" t="s">
        <v>227</v>
      </c>
      <c r="E190" s="76">
        <v>0</v>
      </c>
      <c r="F190" s="76">
        <v>0</v>
      </c>
      <c r="G190" s="76">
        <v>50</v>
      </c>
      <c r="H190" s="76">
        <v>30</v>
      </c>
      <c r="I190" s="76">
        <v>30</v>
      </c>
      <c r="J190" s="76">
        <v>30</v>
      </c>
      <c r="K190" s="76">
        <v>30</v>
      </c>
      <c r="L190" s="76">
        <v>30</v>
      </c>
      <c r="M190" s="76">
        <v>30</v>
      </c>
      <c r="N190" s="76">
        <v>30</v>
      </c>
      <c r="O190" s="76">
        <v>30</v>
      </c>
      <c r="P190" s="76">
        <v>30</v>
      </c>
      <c r="Q190" s="76">
        <v>30</v>
      </c>
      <c r="R190" s="76">
        <v>30</v>
      </c>
      <c r="S190" s="76">
        <v>30</v>
      </c>
      <c r="T190" s="20"/>
    </row>
    <row r="191" spans="3:20" ht="18.75">
      <c r="C191" s="85" t="s">
        <v>163</v>
      </c>
      <c r="D191" s="4" t="s">
        <v>227</v>
      </c>
      <c r="E191" s="76">
        <v>6046.4</v>
      </c>
      <c r="F191" s="76">
        <v>6834.9</v>
      </c>
      <c r="G191" s="76">
        <v>4913.2</v>
      </c>
      <c r="H191" s="76">
        <v>9526.5</v>
      </c>
      <c r="I191" s="76">
        <v>12571.6</v>
      </c>
      <c r="J191" s="76">
        <v>10971.6</v>
      </c>
      <c r="K191" s="76">
        <v>11121.6</v>
      </c>
      <c r="L191" s="76">
        <v>12471.6</v>
      </c>
      <c r="M191" s="76">
        <v>12471.6</v>
      </c>
      <c r="N191" s="76">
        <v>12471.6</v>
      </c>
      <c r="O191" s="76">
        <v>12471.6</v>
      </c>
      <c r="P191" s="76">
        <v>12471.6</v>
      </c>
      <c r="Q191" s="76">
        <v>12471.6</v>
      </c>
      <c r="R191" s="76">
        <v>12471.6</v>
      </c>
      <c r="S191" s="76">
        <v>12471.6</v>
      </c>
      <c r="T191" s="20"/>
    </row>
    <row r="192" spans="3:20" ht="18.75">
      <c r="C192" s="85" t="s">
        <v>159</v>
      </c>
      <c r="D192" s="4" t="s">
        <v>227</v>
      </c>
      <c r="E192" s="76">
        <v>9249.6</v>
      </c>
      <c r="F192" s="76">
        <v>4767.6</v>
      </c>
      <c r="G192" s="76">
        <v>11880.8</v>
      </c>
      <c r="H192" s="76">
        <v>3281.3</v>
      </c>
      <c r="I192" s="76">
        <v>433.8</v>
      </c>
      <c r="J192" s="76">
        <v>433.8</v>
      </c>
      <c r="K192" s="76">
        <v>433.8</v>
      </c>
      <c r="L192" s="76">
        <v>433.8</v>
      </c>
      <c r="M192" s="76">
        <v>433.8</v>
      </c>
      <c r="N192" s="76">
        <v>433.8</v>
      </c>
      <c r="O192" s="76">
        <v>433.8</v>
      </c>
      <c r="P192" s="76">
        <v>433.8</v>
      </c>
      <c r="Q192" s="76">
        <v>433.8</v>
      </c>
      <c r="R192" s="76">
        <v>433.8</v>
      </c>
      <c r="S192" s="76">
        <v>433.8</v>
      </c>
      <c r="T192" s="20"/>
    </row>
    <row r="193" spans="3:20" ht="18.75">
      <c r="C193" s="85" t="s">
        <v>160</v>
      </c>
      <c r="D193" s="4" t="s">
        <v>227</v>
      </c>
      <c r="E193" s="76">
        <v>7055.3</v>
      </c>
      <c r="F193" s="76">
        <v>7677.1</v>
      </c>
      <c r="G193" s="76">
        <v>14396.3</v>
      </c>
      <c r="H193" s="76">
        <v>10544.9</v>
      </c>
      <c r="I193" s="76">
        <v>10544.9</v>
      </c>
      <c r="J193" s="76">
        <v>10544.9</v>
      </c>
      <c r="K193" s="76">
        <v>10544.9</v>
      </c>
      <c r="L193" s="76">
        <v>10544.9</v>
      </c>
      <c r="M193" s="76">
        <v>10544.9</v>
      </c>
      <c r="N193" s="76">
        <v>10544.9</v>
      </c>
      <c r="O193" s="76">
        <v>10544.9</v>
      </c>
      <c r="P193" s="76">
        <v>10544.9</v>
      </c>
      <c r="Q193" s="76">
        <v>10544.9</v>
      </c>
      <c r="R193" s="76">
        <v>10544.9</v>
      </c>
      <c r="S193" s="76">
        <v>10544.9</v>
      </c>
      <c r="T193" s="20"/>
    </row>
    <row r="194" spans="3:20" ht="18.75">
      <c r="C194" s="85" t="s">
        <v>234</v>
      </c>
      <c r="D194" s="4" t="s">
        <v>227</v>
      </c>
      <c r="E194" s="76">
        <v>2211.2</v>
      </c>
      <c r="F194" s="76">
        <v>5223.9</v>
      </c>
      <c r="G194" s="76">
        <v>7053.5</v>
      </c>
      <c r="H194" s="76">
        <v>0</v>
      </c>
      <c r="I194" s="76">
        <v>0</v>
      </c>
      <c r="J194" s="76">
        <v>0</v>
      </c>
      <c r="K194" s="76">
        <v>0</v>
      </c>
      <c r="L194" s="76">
        <v>0</v>
      </c>
      <c r="M194" s="76">
        <v>0</v>
      </c>
      <c r="N194" s="76">
        <v>0</v>
      </c>
      <c r="O194" s="76">
        <v>0</v>
      </c>
      <c r="P194" s="76">
        <v>0</v>
      </c>
      <c r="Q194" s="76">
        <v>0</v>
      </c>
      <c r="R194" s="76">
        <v>0</v>
      </c>
      <c r="S194" s="76">
        <v>0</v>
      </c>
      <c r="T194" s="20"/>
    </row>
    <row r="195" spans="3:20" ht="19.5">
      <c r="C195" s="89" t="s">
        <v>161</v>
      </c>
      <c r="D195" s="4" t="s">
        <v>227</v>
      </c>
      <c r="E195" s="90">
        <f>SUM(E188:E194)+E187</f>
        <v>27936</v>
      </c>
      <c r="F195" s="90">
        <f>SUM(F188:F194)+F187</f>
        <v>28222.800000000003</v>
      </c>
      <c r="G195" s="90">
        <f>SUM(G188:G194)+G187</f>
        <v>41679.3</v>
      </c>
      <c r="H195" s="90">
        <f aca="true" t="shared" si="41" ref="H195:S195">SUM(H188:H193)+H187</f>
        <v>27031.5</v>
      </c>
      <c r="I195" s="90">
        <f t="shared" si="41"/>
        <v>26725.1</v>
      </c>
      <c r="J195" s="90">
        <f t="shared" si="41"/>
        <v>25125.1</v>
      </c>
      <c r="K195" s="90">
        <f t="shared" si="41"/>
        <v>25275.1</v>
      </c>
      <c r="L195" s="90">
        <f t="shared" si="41"/>
        <v>26625.1</v>
      </c>
      <c r="M195" s="90">
        <f t="shared" si="41"/>
        <v>26625.1</v>
      </c>
      <c r="N195" s="90">
        <f t="shared" si="41"/>
        <v>26625.1</v>
      </c>
      <c r="O195" s="90">
        <f t="shared" si="41"/>
        <v>26625.1</v>
      </c>
      <c r="P195" s="90">
        <f t="shared" si="41"/>
        <v>26625.1</v>
      </c>
      <c r="Q195" s="90">
        <f t="shared" si="41"/>
        <v>26625.1</v>
      </c>
      <c r="R195" s="90">
        <f t="shared" si="41"/>
        <v>26625.1</v>
      </c>
      <c r="S195" s="90">
        <f t="shared" si="41"/>
        <v>26625.1</v>
      </c>
      <c r="T195" s="20"/>
    </row>
    <row r="196" spans="3:20" ht="37.5">
      <c r="C196" s="23" t="s">
        <v>141</v>
      </c>
      <c r="D196" s="4" t="s">
        <v>227</v>
      </c>
      <c r="E196" s="90">
        <f aca="true" t="shared" si="42" ref="E196:S196">E185-E195</f>
        <v>43.5</v>
      </c>
      <c r="F196" s="90">
        <f t="shared" si="42"/>
        <v>1411.0999999999985</v>
      </c>
      <c r="G196" s="90">
        <f t="shared" si="42"/>
        <v>672.3999999999942</v>
      </c>
      <c r="H196" s="90">
        <f t="shared" si="42"/>
        <v>115</v>
      </c>
      <c r="I196" s="90">
        <f t="shared" si="42"/>
        <v>421.40000000000146</v>
      </c>
      <c r="J196" s="90">
        <f t="shared" si="42"/>
        <v>316</v>
      </c>
      <c r="K196" s="90">
        <f t="shared" si="42"/>
        <v>166</v>
      </c>
      <c r="L196" s="90">
        <f t="shared" si="42"/>
        <v>364.90000000000146</v>
      </c>
      <c r="M196" s="90">
        <f t="shared" si="42"/>
        <v>364.90000000000146</v>
      </c>
      <c r="N196" s="90">
        <f t="shared" si="42"/>
        <v>364.90000000000146</v>
      </c>
      <c r="O196" s="90">
        <f t="shared" si="42"/>
        <v>364.90000000000146</v>
      </c>
      <c r="P196" s="90">
        <f t="shared" si="42"/>
        <v>364.90000000000146</v>
      </c>
      <c r="Q196" s="90">
        <f t="shared" si="42"/>
        <v>364.90000000000146</v>
      </c>
      <c r="R196" s="90">
        <f t="shared" si="42"/>
        <v>364.90000000000146</v>
      </c>
      <c r="S196" s="90">
        <f t="shared" si="42"/>
        <v>364.90000000000146</v>
      </c>
      <c r="T196" s="20"/>
    </row>
    <row r="197" spans="3:20" ht="37.5">
      <c r="C197" s="3" t="s">
        <v>207</v>
      </c>
      <c r="D197" s="4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8"/>
      <c r="R197" s="18"/>
      <c r="S197" s="19"/>
      <c r="T197" s="20"/>
    </row>
    <row r="198" spans="3:20" ht="18.75">
      <c r="C198" s="3" t="s">
        <v>59</v>
      </c>
      <c r="D198" s="4" t="s">
        <v>58</v>
      </c>
      <c r="E198" s="4">
        <f>E200+E201+E202+E207+E208</f>
        <v>894.7</v>
      </c>
      <c r="F198" s="4">
        <f aca="true" t="shared" si="43" ref="F198:S198">F200+F201+F202+F207+F208</f>
        <v>1047.26</v>
      </c>
      <c r="G198" s="4">
        <f t="shared" si="43"/>
        <v>951.5599999999998</v>
      </c>
      <c r="H198" s="4">
        <f t="shared" si="43"/>
        <v>995.9000000000001</v>
      </c>
      <c r="I198" s="4">
        <f t="shared" si="43"/>
        <v>995.4100000000001</v>
      </c>
      <c r="J198" s="4">
        <f t="shared" si="43"/>
        <v>1032.58</v>
      </c>
      <c r="K198" s="4">
        <f t="shared" si="43"/>
        <v>1035.2199999999998</v>
      </c>
      <c r="L198" s="4">
        <f t="shared" si="43"/>
        <v>1074.94</v>
      </c>
      <c r="M198" s="4">
        <f t="shared" si="43"/>
        <v>1080.0500000000002</v>
      </c>
      <c r="N198" s="4">
        <f t="shared" si="43"/>
        <v>1124.71</v>
      </c>
      <c r="O198" s="4">
        <f t="shared" si="43"/>
        <v>1132.02</v>
      </c>
      <c r="P198" s="4">
        <f t="shared" si="43"/>
        <v>1174.1200000000001</v>
      </c>
      <c r="Q198" s="4">
        <f t="shared" si="43"/>
        <v>1181.63</v>
      </c>
      <c r="R198" s="4">
        <f t="shared" si="43"/>
        <v>1232.2099999999998</v>
      </c>
      <c r="S198" s="4">
        <f t="shared" si="43"/>
        <v>1240.9199999999998</v>
      </c>
      <c r="T198" s="20"/>
    </row>
    <row r="199" spans="3:20" ht="18.75">
      <c r="C199" s="6" t="s">
        <v>17</v>
      </c>
      <c r="D199" s="4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29"/>
      <c r="R199" s="29"/>
      <c r="S199" s="30"/>
      <c r="T199" s="20"/>
    </row>
    <row r="200" spans="3:20" ht="37.5">
      <c r="C200" s="6" t="s">
        <v>60</v>
      </c>
      <c r="D200" s="4" t="s">
        <v>58</v>
      </c>
      <c r="E200" s="4">
        <v>84.1</v>
      </c>
      <c r="F200" s="5">
        <v>232.7</v>
      </c>
      <c r="G200" s="5">
        <v>91.8</v>
      </c>
      <c r="H200" s="5">
        <v>96.1</v>
      </c>
      <c r="I200" s="5">
        <v>96.2</v>
      </c>
      <c r="J200" s="5">
        <v>100.62</v>
      </c>
      <c r="K200" s="5">
        <v>100.8</v>
      </c>
      <c r="L200" s="5">
        <v>106.9</v>
      </c>
      <c r="M200" s="5">
        <v>107</v>
      </c>
      <c r="N200" s="5">
        <v>114.34</v>
      </c>
      <c r="O200" s="5">
        <v>114.65</v>
      </c>
      <c r="P200" s="5">
        <v>121.07</v>
      </c>
      <c r="Q200" s="29">
        <v>121.4</v>
      </c>
      <c r="R200" s="29">
        <v>130</v>
      </c>
      <c r="S200" s="30">
        <v>130.19</v>
      </c>
      <c r="T200" s="20"/>
    </row>
    <row r="201" spans="3:20" ht="37.5">
      <c r="C201" s="6" t="s">
        <v>182</v>
      </c>
      <c r="D201" s="4" t="s">
        <v>58</v>
      </c>
      <c r="E201" s="4">
        <v>440.86</v>
      </c>
      <c r="F201" s="5">
        <v>428.2</v>
      </c>
      <c r="G201" s="5">
        <v>459.4</v>
      </c>
      <c r="H201" s="5">
        <v>479.64</v>
      </c>
      <c r="I201" s="5">
        <v>480.55</v>
      </c>
      <c r="J201" s="5">
        <v>501.69</v>
      </c>
      <c r="K201" s="5">
        <v>503.65</v>
      </c>
      <c r="L201" s="5">
        <v>525.84</v>
      </c>
      <c r="M201" s="5">
        <v>528.85</v>
      </c>
      <c r="N201" s="5">
        <v>552.1</v>
      </c>
      <c r="O201" s="5">
        <v>558.9</v>
      </c>
      <c r="P201" s="5">
        <v>581.8</v>
      </c>
      <c r="Q201" s="29">
        <v>588.63</v>
      </c>
      <c r="R201" s="29">
        <v>617.4</v>
      </c>
      <c r="S201" s="30">
        <v>625.67</v>
      </c>
      <c r="T201" s="20"/>
    </row>
    <row r="202" spans="3:20" ht="18.75">
      <c r="C202" s="6" t="s">
        <v>62</v>
      </c>
      <c r="D202" s="4" t="s">
        <v>58</v>
      </c>
      <c r="E202" s="4">
        <f>E204+E205</f>
        <v>278.49</v>
      </c>
      <c r="F202" s="4">
        <f aca="true" t="shared" si="44" ref="F202:S202">F204+F205</f>
        <v>290.59999999999997</v>
      </c>
      <c r="G202" s="4">
        <f t="shared" si="44"/>
        <v>301.44</v>
      </c>
      <c r="H202" s="4">
        <f t="shared" si="44"/>
        <v>313.16</v>
      </c>
      <c r="I202" s="4">
        <f t="shared" si="44"/>
        <v>311.16</v>
      </c>
      <c r="J202" s="4">
        <f t="shared" si="44"/>
        <v>322.17</v>
      </c>
      <c r="K202" s="4">
        <f t="shared" si="44"/>
        <v>322.17</v>
      </c>
      <c r="L202" s="4">
        <f t="shared" si="44"/>
        <v>332.70000000000005</v>
      </c>
      <c r="M202" s="4">
        <f t="shared" si="44"/>
        <v>332.70000000000005</v>
      </c>
      <c r="N202" s="4">
        <f t="shared" si="44"/>
        <v>344.37</v>
      </c>
      <c r="O202" s="4">
        <f t="shared" si="44"/>
        <v>344.37</v>
      </c>
      <c r="P202" s="4">
        <f t="shared" si="44"/>
        <v>356.90000000000003</v>
      </c>
      <c r="Q202" s="4">
        <f t="shared" si="44"/>
        <v>356.90000000000003</v>
      </c>
      <c r="R202" s="4">
        <f t="shared" si="44"/>
        <v>369.96</v>
      </c>
      <c r="S202" s="4">
        <f t="shared" si="44"/>
        <v>369.96</v>
      </c>
      <c r="T202" s="20"/>
    </row>
    <row r="203" spans="3:20" ht="18.75">
      <c r="C203" s="6" t="s">
        <v>17</v>
      </c>
      <c r="D203" s="4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29"/>
      <c r="R203" s="29"/>
      <c r="S203" s="30"/>
      <c r="T203" s="20"/>
    </row>
    <row r="204" spans="3:20" ht="18.75">
      <c r="C204" s="6" t="s">
        <v>63</v>
      </c>
      <c r="D204" s="4" t="s">
        <v>58</v>
      </c>
      <c r="E204" s="4">
        <v>252.14</v>
      </c>
      <c r="F204" s="5">
        <v>263.2</v>
      </c>
      <c r="G204" s="5">
        <v>273.9</v>
      </c>
      <c r="H204" s="5">
        <v>284.3</v>
      </c>
      <c r="I204" s="5">
        <v>284.3</v>
      </c>
      <c r="J204" s="5">
        <v>295.67</v>
      </c>
      <c r="K204" s="5">
        <v>295.67</v>
      </c>
      <c r="L204" s="5">
        <v>306.6</v>
      </c>
      <c r="M204" s="5">
        <v>306.6</v>
      </c>
      <c r="N204" s="5">
        <v>318.56</v>
      </c>
      <c r="O204" s="5">
        <v>318.56</v>
      </c>
      <c r="P204" s="5">
        <v>331.3</v>
      </c>
      <c r="Q204" s="29">
        <v>331.3</v>
      </c>
      <c r="R204" s="29">
        <v>344.56</v>
      </c>
      <c r="S204" s="30">
        <v>344.56</v>
      </c>
      <c r="T204" s="20"/>
    </row>
    <row r="205" spans="3:20" ht="18.75">
      <c r="C205" s="6" t="s">
        <v>64</v>
      </c>
      <c r="D205" s="4" t="s">
        <v>58</v>
      </c>
      <c r="E205" s="4">
        <v>26.35</v>
      </c>
      <c r="F205" s="5">
        <v>27.4</v>
      </c>
      <c r="G205" s="5">
        <v>27.54</v>
      </c>
      <c r="H205" s="5">
        <v>28.86</v>
      </c>
      <c r="I205" s="5">
        <v>26.86</v>
      </c>
      <c r="J205" s="5">
        <v>26.5</v>
      </c>
      <c r="K205" s="5">
        <v>26.5</v>
      </c>
      <c r="L205" s="5">
        <v>26.1</v>
      </c>
      <c r="M205" s="5">
        <v>26.1</v>
      </c>
      <c r="N205" s="5">
        <v>25.81</v>
      </c>
      <c r="O205" s="5">
        <v>25.81</v>
      </c>
      <c r="P205" s="5">
        <v>25.6</v>
      </c>
      <c r="Q205" s="29">
        <v>25.6</v>
      </c>
      <c r="R205" s="29">
        <v>25.4</v>
      </c>
      <c r="S205" s="30">
        <v>25.4</v>
      </c>
      <c r="T205" s="20"/>
    </row>
    <row r="206" spans="3:20" ht="18.75">
      <c r="C206" s="6" t="s">
        <v>65</v>
      </c>
      <c r="D206" s="4" t="s">
        <v>58</v>
      </c>
      <c r="E206" s="4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29">
        <v>0</v>
      </c>
      <c r="R206" s="29">
        <v>0</v>
      </c>
      <c r="S206" s="30">
        <v>0</v>
      </c>
      <c r="T206" s="20"/>
    </row>
    <row r="207" spans="3:20" ht="18.75">
      <c r="C207" s="6" t="s">
        <v>61</v>
      </c>
      <c r="D207" s="4" t="s">
        <v>58</v>
      </c>
      <c r="E207" s="4">
        <v>16.35</v>
      </c>
      <c r="F207" s="5">
        <v>17.56</v>
      </c>
      <c r="G207" s="5">
        <v>17.62</v>
      </c>
      <c r="H207" s="5">
        <v>19</v>
      </c>
      <c r="I207" s="5">
        <v>19.2</v>
      </c>
      <c r="J207" s="5">
        <v>19.4</v>
      </c>
      <c r="K207" s="5">
        <v>19.6</v>
      </c>
      <c r="L207" s="5">
        <v>20.3</v>
      </c>
      <c r="M207" s="5">
        <v>21.5</v>
      </c>
      <c r="N207" s="5">
        <v>23.5</v>
      </c>
      <c r="O207" s="5">
        <v>23.7</v>
      </c>
      <c r="P207" s="5">
        <v>23.9</v>
      </c>
      <c r="Q207" s="29">
        <v>24</v>
      </c>
      <c r="R207" s="29">
        <v>24.1</v>
      </c>
      <c r="S207" s="30">
        <v>24.3</v>
      </c>
      <c r="T207" s="20"/>
    </row>
    <row r="208" spans="3:20" ht="37.5">
      <c r="C208" s="6" t="s">
        <v>183</v>
      </c>
      <c r="D208" s="4" t="s">
        <v>58</v>
      </c>
      <c r="E208" s="4">
        <v>74.9</v>
      </c>
      <c r="F208" s="5">
        <v>78.2</v>
      </c>
      <c r="G208" s="5">
        <v>81.3</v>
      </c>
      <c r="H208" s="5">
        <v>88</v>
      </c>
      <c r="I208" s="5">
        <v>88.3</v>
      </c>
      <c r="J208" s="5">
        <v>88.7</v>
      </c>
      <c r="K208" s="5">
        <v>89</v>
      </c>
      <c r="L208" s="5">
        <v>89.2</v>
      </c>
      <c r="M208" s="5">
        <v>90</v>
      </c>
      <c r="N208" s="5">
        <v>90.4</v>
      </c>
      <c r="O208" s="5">
        <v>90.4</v>
      </c>
      <c r="P208" s="5">
        <v>90.45</v>
      </c>
      <c r="Q208" s="29">
        <v>90.7</v>
      </c>
      <c r="R208" s="29">
        <v>90.75</v>
      </c>
      <c r="S208" s="30">
        <v>90.8</v>
      </c>
      <c r="T208" s="20"/>
    </row>
    <row r="209" spans="3:20" ht="18.75">
      <c r="C209" s="7" t="s">
        <v>81</v>
      </c>
      <c r="D209" s="4" t="s">
        <v>98</v>
      </c>
      <c r="E209" s="4">
        <v>95.7</v>
      </c>
      <c r="F209" s="5">
        <v>99</v>
      </c>
      <c r="G209" s="5">
        <v>102.4</v>
      </c>
      <c r="H209" s="5">
        <v>100.3</v>
      </c>
      <c r="I209" s="5">
        <v>100.6</v>
      </c>
      <c r="J209" s="5">
        <v>100.9</v>
      </c>
      <c r="K209" s="5">
        <v>101.2</v>
      </c>
      <c r="L209" s="5">
        <v>101</v>
      </c>
      <c r="M209" s="5">
        <v>101.2</v>
      </c>
      <c r="N209" s="5">
        <v>101.1</v>
      </c>
      <c r="O209" s="5">
        <v>101.3</v>
      </c>
      <c r="P209" s="5">
        <v>101.2</v>
      </c>
      <c r="Q209" s="29">
        <v>101.5</v>
      </c>
      <c r="R209" s="29">
        <v>101.4</v>
      </c>
      <c r="S209" s="30">
        <v>101.7</v>
      </c>
      <c r="T209" s="20"/>
    </row>
    <row r="210" spans="3:20" ht="37.5">
      <c r="C210" s="7" t="s">
        <v>142</v>
      </c>
      <c r="D210" s="4" t="s">
        <v>98</v>
      </c>
      <c r="E210" s="4">
        <v>95.3</v>
      </c>
      <c r="F210" s="5">
        <v>98.9</v>
      </c>
      <c r="G210" s="5">
        <v>101.9</v>
      </c>
      <c r="H210" s="5">
        <v>100.1</v>
      </c>
      <c r="I210" s="5">
        <v>100.4</v>
      </c>
      <c r="J210" s="5">
        <v>100.7</v>
      </c>
      <c r="K210" s="5">
        <v>100.9</v>
      </c>
      <c r="L210" s="5">
        <v>100.7</v>
      </c>
      <c r="M210" s="5">
        <v>101</v>
      </c>
      <c r="N210" s="5">
        <v>100.8</v>
      </c>
      <c r="O210" s="5">
        <v>101.1</v>
      </c>
      <c r="P210" s="5">
        <v>101</v>
      </c>
      <c r="Q210" s="29">
        <v>101.2</v>
      </c>
      <c r="R210" s="29">
        <v>101.1</v>
      </c>
      <c r="S210" s="30">
        <v>101.4</v>
      </c>
      <c r="T210" s="20"/>
    </row>
    <row r="211" spans="3:20" ht="37.5">
      <c r="C211" s="7" t="s">
        <v>66</v>
      </c>
      <c r="D211" s="4" t="s">
        <v>67</v>
      </c>
      <c r="E211" s="4">
        <v>10981</v>
      </c>
      <c r="F211" s="47">
        <v>11371</v>
      </c>
      <c r="G211" s="47">
        <v>12134</v>
      </c>
      <c r="H211" s="47">
        <v>12843</v>
      </c>
      <c r="I211" s="47">
        <v>12853</v>
      </c>
      <c r="J211" s="47">
        <v>13607</v>
      </c>
      <c r="K211" s="47">
        <v>13618</v>
      </c>
      <c r="L211" s="47">
        <v>14503</v>
      </c>
      <c r="M211" s="47">
        <v>14515</v>
      </c>
      <c r="N211" s="47">
        <v>15493</v>
      </c>
      <c r="O211" s="47">
        <v>15498</v>
      </c>
      <c r="P211" s="47">
        <v>16574</v>
      </c>
      <c r="Q211" s="91">
        <v>16568</v>
      </c>
      <c r="R211" s="91">
        <v>17747</v>
      </c>
      <c r="S211" s="92">
        <v>17741</v>
      </c>
      <c r="T211" s="20"/>
    </row>
    <row r="212" spans="3:20" ht="18.75">
      <c r="C212" s="7" t="s">
        <v>68</v>
      </c>
      <c r="D212" s="4" t="s">
        <v>67</v>
      </c>
      <c r="E212" s="4">
        <v>11297</v>
      </c>
      <c r="F212" s="47">
        <v>11394</v>
      </c>
      <c r="G212" s="47">
        <v>11861</v>
      </c>
      <c r="H212" s="47">
        <v>12312</v>
      </c>
      <c r="I212" s="47">
        <v>12312</v>
      </c>
      <c r="J212" s="47">
        <v>12804</v>
      </c>
      <c r="K212" s="47">
        <v>12804</v>
      </c>
      <c r="L212" s="47">
        <v>13278</v>
      </c>
      <c r="M212" s="47">
        <v>13278</v>
      </c>
      <c r="N212" s="47">
        <v>13796</v>
      </c>
      <c r="O212" s="47">
        <v>13796</v>
      </c>
      <c r="P212" s="47">
        <v>14348</v>
      </c>
      <c r="Q212" s="91">
        <v>14348</v>
      </c>
      <c r="R212" s="91">
        <v>14922</v>
      </c>
      <c r="S212" s="92">
        <v>14922</v>
      </c>
      <c r="T212" s="20"/>
    </row>
    <row r="213" spans="3:20" ht="18.75">
      <c r="C213" s="7" t="s">
        <v>69</v>
      </c>
      <c r="D213" s="4" t="s">
        <v>98</v>
      </c>
      <c r="E213" s="4">
        <v>99.9</v>
      </c>
      <c r="F213" s="5">
        <v>97.8</v>
      </c>
      <c r="G213" s="5">
        <v>101.6</v>
      </c>
      <c r="H213" s="5">
        <v>99.8</v>
      </c>
      <c r="I213" s="5">
        <v>100</v>
      </c>
      <c r="J213" s="5">
        <v>100.5</v>
      </c>
      <c r="K213" s="5">
        <v>100.7</v>
      </c>
      <c r="L213" s="5">
        <v>99.7</v>
      </c>
      <c r="M213" s="5">
        <v>99.9</v>
      </c>
      <c r="N213" s="5">
        <v>99.9</v>
      </c>
      <c r="O213" s="5">
        <v>100.1</v>
      </c>
      <c r="P213" s="5">
        <v>100</v>
      </c>
      <c r="Q213" s="31">
        <v>100.2</v>
      </c>
      <c r="R213" s="31">
        <v>100</v>
      </c>
      <c r="S213" s="32">
        <v>100.2</v>
      </c>
      <c r="T213" s="20"/>
    </row>
    <row r="214" spans="3:20" ht="18.75">
      <c r="C214" s="3" t="s">
        <v>70</v>
      </c>
      <c r="D214" s="4" t="s">
        <v>58</v>
      </c>
      <c r="E214" s="4">
        <f>E216+E218+E219</f>
        <v>362.9</v>
      </c>
      <c r="F214" s="4">
        <f aca="true" t="shared" si="45" ref="F214:S214">F216+F218+F219</f>
        <v>365</v>
      </c>
      <c r="G214" s="4">
        <f t="shared" si="45"/>
        <v>365.9</v>
      </c>
      <c r="H214" s="4">
        <f t="shared" si="45"/>
        <v>426.5</v>
      </c>
      <c r="I214" s="4">
        <f t="shared" si="45"/>
        <v>426.90000000000003</v>
      </c>
      <c r="J214" s="4">
        <f t="shared" si="45"/>
        <v>447.08000000000004</v>
      </c>
      <c r="K214" s="4">
        <f t="shared" si="45"/>
        <v>450.85</v>
      </c>
      <c r="L214" s="4">
        <f t="shared" si="45"/>
        <v>474.8</v>
      </c>
      <c r="M214" s="4">
        <f t="shared" si="45"/>
        <v>479.6</v>
      </c>
      <c r="N214" s="4">
        <f>N216+N218+N219</f>
        <v>502.3</v>
      </c>
      <c r="O214" s="4">
        <f t="shared" si="45"/>
        <v>508.8</v>
      </c>
      <c r="P214" s="4">
        <f t="shared" si="45"/>
        <v>511.4</v>
      </c>
      <c r="Q214" s="4">
        <f t="shared" si="45"/>
        <v>526</v>
      </c>
      <c r="R214" s="4">
        <f t="shared" si="45"/>
        <v>526.6999999999999</v>
      </c>
      <c r="S214" s="4">
        <f t="shared" si="45"/>
        <v>528.3</v>
      </c>
      <c r="T214" s="20"/>
    </row>
    <row r="215" spans="3:20" ht="18.75">
      <c r="C215" s="6" t="s">
        <v>17</v>
      </c>
      <c r="D215" s="4" t="s">
        <v>71</v>
      </c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31"/>
      <c r="R215" s="31"/>
      <c r="S215" s="32"/>
      <c r="T215" s="20"/>
    </row>
    <row r="216" spans="3:20" ht="18.75">
      <c r="C216" s="6" t="s">
        <v>72</v>
      </c>
      <c r="D216" s="4" t="s">
        <v>58</v>
      </c>
      <c r="E216" s="4">
        <v>255.6</v>
      </c>
      <c r="F216" s="5">
        <v>257</v>
      </c>
      <c r="G216" s="5">
        <v>257.7</v>
      </c>
      <c r="H216" s="5">
        <v>300.5</v>
      </c>
      <c r="I216" s="5">
        <v>300.6</v>
      </c>
      <c r="J216" s="5">
        <v>317.68</v>
      </c>
      <c r="K216" s="5">
        <v>317.75</v>
      </c>
      <c r="L216" s="5">
        <v>337.5</v>
      </c>
      <c r="M216" s="5">
        <v>338</v>
      </c>
      <c r="N216" s="5">
        <v>358.3</v>
      </c>
      <c r="O216" s="5">
        <v>358.8</v>
      </c>
      <c r="P216" s="5">
        <v>360</v>
      </c>
      <c r="Q216" s="31">
        <v>371</v>
      </c>
      <c r="R216" s="31">
        <v>371.2</v>
      </c>
      <c r="S216" s="32">
        <v>372</v>
      </c>
      <c r="T216" s="20"/>
    </row>
    <row r="217" spans="3:20" ht="18.75">
      <c r="C217" s="6" t="s">
        <v>73</v>
      </c>
      <c r="D217" s="4" t="s">
        <v>58</v>
      </c>
      <c r="E217" s="4">
        <v>204.5</v>
      </c>
      <c r="F217" s="5">
        <v>205.6</v>
      </c>
      <c r="G217" s="5">
        <v>206.2</v>
      </c>
      <c r="H217" s="5">
        <v>240.4</v>
      </c>
      <c r="I217" s="5">
        <v>240.48</v>
      </c>
      <c r="J217" s="5">
        <v>254.14</v>
      </c>
      <c r="K217" s="5">
        <v>254.2</v>
      </c>
      <c r="L217" s="5">
        <v>270</v>
      </c>
      <c r="M217" s="5">
        <v>270.4</v>
      </c>
      <c r="N217" s="5">
        <v>286.64</v>
      </c>
      <c r="O217" s="5">
        <v>287</v>
      </c>
      <c r="P217" s="5">
        <v>288</v>
      </c>
      <c r="Q217" s="31">
        <v>296</v>
      </c>
      <c r="R217" s="31">
        <v>302</v>
      </c>
      <c r="S217" s="32">
        <v>318</v>
      </c>
      <c r="T217" s="20"/>
    </row>
    <row r="218" spans="3:20" ht="37.5">
      <c r="C218" s="6" t="s">
        <v>74</v>
      </c>
      <c r="D218" s="9" t="s">
        <v>6</v>
      </c>
      <c r="E218" s="9">
        <v>61.3</v>
      </c>
      <c r="F218" s="5">
        <v>61.7</v>
      </c>
      <c r="G218" s="5">
        <v>61.9</v>
      </c>
      <c r="H218" s="5">
        <v>72</v>
      </c>
      <c r="I218" s="5">
        <v>72.1</v>
      </c>
      <c r="J218" s="5">
        <v>72.4</v>
      </c>
      <c r="K218" s="5">
        <v>76</v>
      </c>
      <c r="L218" s="5">
        <v>76.8</v>
      </c>
      <c r="M218" s="5">
        <v>81</v>
      </c>
      <c r="N218" s="5">
        <v>83</v>
      </c>
      <c r="O218" s="5">
        <v>86</v>
      </c>
      <c r="P218" s="5">
        <v>86.4</v>
      </c>
      <c r="Q218" s="31">
        <v>89</v>
      </c>
      <c r="R218" s="31">
        <v>89.2</v>
      </c>
      <c r="S218" s="32">
        <v>90</v>
      </c>
      <c r="T218" s="20"/>
    </row>
    <row r="219" spans="3:20" ht="18.75">
      <c r="C219" s="6" t="s">
        <v>75</v>
      </c>
      <c r="D219" s="4" t="s">
        <v>58</v>
      </c>
      <c r="E219" s="4">
        <v>46</v>
      </c>
      <c r="F219" s="5">
        <v>46.3</v>
      </c>
      <c r="G219" s="5">
        <v>46.3</v>
      </c>
      <c r="H219" s="5">
        <v>54</v>
      </c>
      <c r="I219" s="5">
        <v>54.2</v>
      </c>
      <c r="J219" s="5">
        <v>57</v>
      </c>
      <c r="K219" s="5">
        <v>57.1</v>
      </c>
      <c r="L219" s="5">
        <v>60.5</v>
      </c>
      <c r="M219" s="5">
        <v>60.6</v>
      </c>
      <c r="N219" s="5">
        <v>61</v>
      </c>
      <c r="O219" s="5">
        <v>64</v>
      </c>
      <c r="P219" s="5">
        <v>65</v>
      </c>
      <c r="Q219" s="31">
        <v>66</v>
      </c>
      <c r="R219" s="31">
        <v>66.3</v>
      </c>
      <c r="S219" s="32">
        <v>66.3</v>
      </c>
      <c r="T219" s="20"/>
    </row>
    <row r="220" spans="3:20" ht="37.5">
      <c r="C220" s="7" t="s">
        <v>76</v>
      </c>
      <c r="D220" s="4" t="s">
        <v>58</v>
      </c>
      <c r="E220" s="4">
        <f>E198-E214</f>
        <v>531.8000000000001</v>
      </c>
      <c r="F220" s="4">
        <f aca="true" t="shared" si="46" ref="F220:S220">F198-F214</f>
        <v>682.26</v>
      </c>
      <c r="G220" s="4">
        <f t="shared" si="46"/>
        <v>585.6599999999999</v>
      </c>
      <c r="H220" s="4">
        <f t="shared" si="46"/>
        <v>569.4000000000001</v>
      </c>
      <c r="I220" s="4">
        <f t="shared" si="46"/>
        <v>568.51</v>
      </c>
      <c r="J220" s="4">
        <f t="shared" si="46"/>
        <v>585.4999999999999</v>
      </c>
      <c r="K220" s="4">
        <f t="shared" si="46"/>
        <v>584.3699999999998</v>
      </c>
      <c r="L220" s="4">
        <f t="shared" si="46"/>
        <v>600.1400000000001</v>
      </c>
      <c r="M220" s="4">
        <f>M198-M214</f>
        <v>600.4500000000002</v>
      </c>
      <c r="N220" s="4">
        <f t="shared" si="46"/>
        <v>622.4100000000001</v>
      </c>
      <c r="O220" s="4">
        <f t="shared" si="46"/>
        <v>623.22</v>
      </c>
      <c r="P220" s="4">
        <f t="shared" si="46"/>
        <v>662.7200000000001</v>
      </c>
      <c r="Q220" s="4">
        <f t="shared" si="46"/>
        <v>655.6300000000001</v>
      </c>
      <c r="R220" s="4">
        <f t="shared" si="46"/>
        <v>705.5099999999999</v>
      </c>
      <c r="S220" s="4">
        <f t="shared" si="46"/>
        <v>712.6199999999999</v>
      </c>
      <c r="T220" s="20"/>
    </row>
    <row r="221" spans="3:20" ht="18.75">
      <c r="C221" s="3" t="s">
        <v>208</v>
      </c>
      <c r="D221" s="4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8"/>
      <c r="R221" s="18"/>
      <c r="S221" s="19"/>
      <c r="T221" s="20"/>
    </row>
    <row r="222" spans="3:20" ht="18.75">
      <c r="C222" s="25" t="s">
        <v>210</v>
      </c>
      <c r="D222" s="15" t="s">
        <v>34</v>
      </c>
      <c r="E222" s="4">
        <v>7.161</v>
      </c>
      <c r="F222" s="39">
        <v>7.02</v>
      </c>
      <c r="G222" s="39">
        <v>7.02</v>
      </c>
      <c r="H222" s="39">
        <v>7.038</v>
      </c>
      <c r="I222" s="39">
        <v>7.041</v>
      </c>
      <c r="J222" s="39">
        <v>7.056</v>
      </c>
      <c r="K222" s="39">
        <v>7.06</v>
      </c>
      <c r="L222" s="39">
        <v>7.065</v>
      </c>
      <c r="M222" s="39">
        <v>7.069</v>
      </c>
      <c r="N222" s="39">
        <v>7.074</v>
      </c>
      <c r="O222" s="39">
        <v>7.078</v>
      </c>
      <c r="P222" s="39">
        <v>7.083</v>
      </c>
      <c r="Q222" s="51">
        <v>7.087</v>
      </c>
      <c r="R222" s="51">
        <v>7.092</v>
      </c>
      <c r="S222" s="52">
        <v>7.096</v>
      </c>
      <c r="T222" s="20"/>
    </row>
    <row r="223" spans="3:20" ht="18.75">
      <c r="C223" s="25" t="s">
        <v>211</v>
      </c>
      <c r="D223" s="15" t="s">
        <v>212</v>
      </c>
      <c r="E223" s="4">
        <v>6.808</v>
      </c>
      <c r="F223" s="39">
        <v>6.7</v>
      </c>
      <c r="G223" s="39">
        <v>6.715</v>
      </c>
      <c r="H223" s="39">
        <v>6.733</v>
      </c>
      <c r="I223" s="39">
        <v>6.736</v>
      </c>
      <c r="J223" s="39">
        <v>6.75</v>
      </c>
      <c r="K223" s="39">
        <v>6.753</v>
      </c>
      <c r="L223" s="39">
        <v>6.76</v>
      </c>
      <c r="M223" s="39">
        <v>6.764</v>
      </c>
      <c r="N223" s="39">
        <v>6.769</v>
      </c>
      <c r="O223" s="39">
        <v>6.773</v>
      </c>
      <c r="P223" s="39">
        <v>6.789</v>
      </c>
      <c r="Q223" s="51">
        <v>6.792</v>
      </c>
      <c r="R223" s="51">
        <v>6.798</v>
      </c>
      <c r="S223" s="52">
        <v>6.801</v>
      </c>
      <c r="T223" s="20"/>
    </row>
    <row r="224" spans="3:20" ht="18.75">
      <c r="C224" s="25" t="s">
        <v>213</v>
      </c>
      <c r="D224" s="26" t="s">
        <v>214</v>
      </c>
      <c r="E224" s="4">
        <v>3.8</v>
      </c>
      <c r="F224" s="50">
        <v>4</v>
      </c>
      <c r="G224" s="50">
        <v>4</v>
      </c>
      <c r="H224" s="5">
        <v>4</v>
      </c>
      <c r="I224" s="5">
        <v>4</v>
      </c>
      <c r="J224" s="5">
        <v>4</v>
      </c>
      <c r="K224" s="5">
        <v>4</v>
      </c>
      <c r="L224" s="5">
        <v>4</v>
      </c>
      <c r="M224" s="5">
        <v>4</v>
      </c>
      <c r="N224" s="5">
        <v>4</v>
      </c>
      <c r="O224" s="5">
        <v>4</v>
      </c>
      <c r="P224" s="5">
        <v>4</v>
      </c>
      <c r="Q224" s="53">
        <v>4</v>
      </c>
      <c r="R224" s="53">
        <v>4</v>
      </c>
      <c r="S224" s="54">
        <v>4</v>
      </c>
      <c r="T224" s="20"/>
    </row>
    <row r="225" spans="3:20" ht="37.5">
      <c r="C225" s="23" t="s">
        <v>77</v>
      </c>
      <c r="D225" s="26" t="s">
        <v>29</v>
      </c>
      <c r="E225" s="4">
        <v>2.5</v>
      </c>
      <c r="F225" s="50">
        <v>2.4</v>
      </c>
      <c r="G225" s="50">
        <v>2.4</v>
      </c>
      <c r="H225" s="5">
        <v>2.4</v>
      </c>
      <c r="I225" s="5">
        <v>2.33</v>
      </c>
      <c r="J225" s="5">
        <v>2.4</v>
      </c>
      <c r="K225" s="5">
        <v>2.34</v>
      </c>
      <c r="L225" s="5">
        <v>2.3</v>
      </c>
      <c r="M225" s="5">
        <f>M227/M222*100</f>
        <v>1.9946244164662608</v>
      </c>
      <c r="N225" s="5">
        <v>2.3</v>
      </c>
      <c r="O225" s="5">
        <f>O227/O222*100</f>
        <v>1.9920881604973153</v>
      </c>
      <c r="P225" s="5">
        <v>2.3</v>
      </c>
      <c r="Q225" s="55">
        <f>Q227/Q222*100</f>
        <v>1.9754480033864825</v>
      </c>
      <c r="R225" s="55">
        <v>2.3</v>
      </c>
      <c r="S225" s="56">
        <f>S227/S222*100</f>
        <v>1.9729425028184893</v>
      </c>
      <c r="T225" s="20"/>
    </row>
    <row r="226" spans="3:20" ht="37.5">
      <c r="C226" s="23" t="s">
        <v>215</v>
      </c>
      <c r="D226" s="15" t="s">
        <v>34</v>
      </c>
      <c r="E226" s="9">
        <f>E227*2</f>
        <v>0.27</v>
      </c>
      <c r="F226" s="9">
        <f aca="true" t="shared" si="47" ref="F226:L226">F227*2</f>
        <v>0.28</v>
      </c>
      <c r="G226" s="9">
        <f t="shared" si="47"/>
        <v>0.28</v>
      </c>
      <c r="H226" s="9">
        <f t="shared" si="47"/>
        <v>0.28</v>
      </c>
      <c r="I226" s="9">
        <f t="shared" si="47"/>
        <v>0.278</v>
      </c>
      <c r="J226" s="9">
        <f t="shared" si="47"/>
        <v>0.284</v>
      </c>
      <c r="K226" s="9">
        <f t="shared" si="47"/>
        <v>0.286</v>
      </c>
      <c r="L226" s="9">
        <f t="shared" si="47"/>
        <v>0.286</v>
      </c>
      <c r="M226" s="9">
        <f aca="true" t="shared" si="48" ref="M226:S226">M227*2</f>
        <v>0.282</v>
      </c>
      <c r="N226" s="9">
        <f t="shared" si="48"/>
        <v>0.286</v>
      </c>
      <c r="O226" s="9">
        <f t="shared" si="48"/>
        <v>0.282</v>
      </c>
      <c r="P226" s="9">
        <f t="shared" si="48"/>
        <v>0.28</v>
      </c>
      <c r="Q226" s="9">
        <f t="shared" si="48"/>
        <v>0.28</v>
      </c>
      <c r="R226" s="9">
        <f t="shared" si="48"/>
        <v>0.28</v>
      </c>
      <c r="S226" s="9">
        <f t="shared" si="48"/>
        <v>0.28</v>
      </c>
      <c r="T226" s="20"/>
    </row>
    <row r="227" spans="3:20" ht="57.75" customHeight="1">
      <c r="C227" s="23" t="s">
        <v>78</v>
      </c>
      <c r="D227" s="15" t="s">
        <v>34</v>
      </c>
      <c r="E227" s="9">
        <v>0.135</v>
      </c>
      <c r="F227" s="39">
        <v>0.14</v>
      </c>
      <c r="G227" s="39">
        <v>0.14</v>
      </c>
      <c r="H227" s="39">
        <v>0.14</v>
      </c>
      <c r="I227" s="39">
        <v>0.139</v>
      </c>
      <c r="J227" s="39">
        <v>0.142</v>
      </c>
      <c r="K227" s="39">
        <v>0.143</v>
      </c>
      <c r="L227" s="39">
        <v>0.143</v>
      </c>
      <c r="M227" s="39">
        <v>0.141</v>
      </c>
      <c r="N227" s="39">
        <v>0.143</v>
      </c>
      <c r="O227" s="39">
        <v>0.141</v>
      </c>
      <c r="P227" s="39">
        <v>0.14</v>
      </c>
      <c r="Q227" s="39">
        <v>0.14</v>
      </c>
      <c r="R227" s="39">
        <v>0.14</v>
      </c>
      <c r="S227" s="39">
        <v>0.14</v>
      </c>
      <c r="T227" s="20"/>
    </row>
    <row r="228" spans="3:20" ht="56.25">
      <c r="C228" s="7" t="s">
        <v>90</v>
      </c>
      <c r="D228" s="8" t="s">
        <v>34</v>
      </c>
      <c r="E228" s="8">
        <v>2.2</v>
      </c>
      <c r="F228" s="39">
        <v>2.19</v>
      </c>
      <c r="G228" s="39">
        <v>2.18</v>
      </c>
      <c r="H228" s="39">
        <v>2.18</v>
      </c>
      <c r="I228" s="39">
        <v>2.17</v>
      </c>
      <c r="J228" s="39">
        <v>217</v>
      </c>
      <c r="K228" s="39">
        <v>2.1</v>
      </c>
      <c r="L228" s="39">
        <v>2.1</v>
      </c>
      <c r="M228" s="39">
        <v>2.1</v>
      </c>
      <c r="N228" s="39">
        <v>2.1</v>
      </c>
      <c r="O228" s="39">
        <v>2.1</v>
      </c>
      <c r="P228" s="39">
        <v>3.124</v>
      </c>
      <c r="Q228" s="60">
        <v>3.126</v>
      </c>
      <c r="R228" s="60">
        <v>3.128</v>
      </c>
      <c r="S228" s="61">
        <v>3.13</v>
      </c>
      <c r="T228" s="20"/>
    </row>
    <row r="229" spans="3:20" ht="18.75">
      <c r="C229" s="101" t="s">
        <v>80</v>
      </c>
      <c r="D229" s="4" t="s">
        <v>11</v>
      </c>
      <c r="E229" s="4">
        <v>497.9</v>
      </c>
      <c r="F229" s="5">
        <v>483.6</v>
      </c>
      <c r="G229" s="5">
        <f>F229*G230/100</f>
        <v>518.9028</v>
      </c>
      <c r="H229" s="5">
        <f>G229*H230/100</f>
        <v>541.7345232</v>
      </c>
      <c r="I229" s="5">
        <f>G229*I230/100</f>
        <v>542.7723288</v>
      </c>
      <c r="J229" s="5">
        <f>H229*J230/100</f>
        <v>566.6543112672</v>
      </c>
      <c r="K229" s="5">
        <f>I229*K230/100</f>
        <v>568.8254005824</v>
      </c>
      <c r="L229" s="5">
        <f>J229*L230/100</f>
        <v>593.8537182080256</v>
      </c>
      <c r="M229" s="5">
        <f>K229*M230/100</f>
        <v>597.26667061152</v>
      </c>
      <c r="N229" s="5">
        <f>L229*O230/100</f>
        <v>624.7341115548429</v>
      </c>
      <c r="O229" s="5">
        <f>M229*O230/100</f>
        <v>628.3245374833191</v>
      </c>
      <c r="P229" s="5">
        <f>N229*P230/100</f>
        <v>659.0944876903592</v>
      </c>
      <c r="Q229" s="5">
        <f>O229*Q230/100</f>
        <v>664.7673606573516</v>
      </c>
      <c r="R229" s="5">
        <f>P229*R230/100</f>
        <v>698.6401569517808</v>
      </c>
      <c r="S229" s="5">
        <f>Q229*S230/100</f>
        <v>706.6477043787647</v>
      </c>
      <c r="T229" s="20"/>
    </row>
    <row r="230" spans="3:20" ht="18.75">
      <c r="C230" s="102"/>
      <c r="D230" s="4" t="s">
        <v>98</v>
      </c>
      <c r="E230" s="4">
        <v>105.5</v>
      </c>
      <c r="F230" s="5">
        <f>F229/E229*100</f>
        <v>97.12793733681463</v>
      </c>
      <c r="G230" s="5">
        <v>107.3</v>
      </c>
      <c r="H230" s="5">
        <v>104.4</v>
      </c>
      <c r="I230" s="5">
        <v>104.6</v>
      </c>
      <c r="J230" s="5">
        <v>104.6</v>
      </c>
      <c r="K230" s="5">
        <v>104.8</v>
      </c>
      <c r="L230" s="5">
        <v>104.8</v>
      </c>
      <c r="M230" s="5">
        <v>105</v>
      </c>
      <c r="N230" s="5">
        <v>105</v>
      </c>
      <c r="O230" s="5">
        <v>105.2</v>
      </c>
      <c r="P230" s="5">
        <v>105.5</v>
      </c>
      <c r="Q230" s="62">
        <v>105.8</v>
      </c>
      <c r="R230" s="62">
        <v>106</v>
      </c>
      <c r="S230" s="63">
        <v>106.3</v>
      </c>
      <c r="T230" s="20"/>
    </row>
    <row r="231" spans="3:20" ht="56.25">
      <c r="C231" s="7" t="s">
        <v>184</v>
      </c>
      <c r="D231" s="4" t="s">
        <v>185</v>
      </c>
      <c r="E231" s="4">
        <v>15.507</v>
      </c>
      <c r="F231" s="39">
        <v>14.937</v>
      </c>
      <c r="G231" s="39">
        <f>G229/12/G228</f>
        <v>19.835733944954125</v>
      </c>
      <c r="H231" s="39">
        <f>H229/12/H228</f>
        <v>20.70850623853211</v>
      </c>
      <c r="I231" s="39">
        <f>I229/12/I228</f>
        <v>20.84379142857143</v>
      </c>
      <c r="J231" s="39">
        <f aca="true" t="shared" si="49" ref="J231:S231">J229/12/J228</f>
        <v>0.21760918251428574</v>
      </c>
      <c r="K231" s="39">
        <f t="shared" si="49"/>
        <v>22.572436531047618</v>
      </c>
      <c r="L231" s="39">
        <f t="shared" si="49"/>
        <v>23.565623738413716</v>
      </c>
      <c r="M231" s="39">
        <f t="shared" si="49"/>
        <v>23.7010583576</v>
      </c>
      <c r="N231" s="39">
        <f t="shared" si="49"/>
        <v>24.791036172811225</v>
      </c>
      <c r="O231" s="39">
        <f t="shared" si="49"/>
        <v>24.933513392195202</v>
      </c>
      <c r="P231" s="39">
        <f t="shared" si="49"/>
        <v>17.581479078381324</v>
      </c>
      <c r="Q231" s="39">
        <f t="shared" si="49"/>
        <v>17.72145875072914</v>
      </c>
      <c r="R231" s="39">
        <f t="shared" si="49"/>
        <v>18.61253615067617</v>
      </c>
      <c r="S231" s="39">
        <f t="shared" si="49"/>
        <v>18.81383664480204</v>
      </c>
      <c r="T231" s="20"/>
    </row>
    <row r="232" spans="3:20" ht="42" customHeight="1">
      <c r="C232" s="7" t="s">
        <v>186</v>
      </c>
      <c r="D232" s="9" t="s">
        <v>98</v>
      </c>
      <c r="E232" s="4">
        <v>106.1</v>
      </c>
      <c r="F232" s="50">
        <f>F231/E231*100</f>
        <v>96.3242406655059</v>
      </c>
      <c r="G232" s="50">
        <f>G231/F231*100</f>
        <v>132.7959693710526</v>
      </c>
      <c r="H232" s="50">
        <f>H231/G231*100</f>
        <v>104.4</v>
      </c>
      <c r="I232" s="50">
        <f>I231/G231*100</f>
        <v>105.0820276497696</v>
      </c>
      <c r="J232" s="50">
        <f aca="true" t="shared" si="50" ref="J232:S232">J231/H231*100</f>
        <v>1.050820276497696</v>
      </c>
      <c r="K232" s="50">
        <f t="shared" si="50"/>
        <v>108.29333333333334</v>
      </c>
      <c r="L232" s="50">
        <f t="shared" si="50"/>
        <v>10829.333333333334</v>
      </c>
      <c r="M232" s="50">
        <f t="shared" si="50"/>
        <v>105</v>
      </c>
      <c r="N232" s="50">
        <f t="shared" si="50"/>
        <v>105.19999999999999</v>
      </c>
      <c r="O232" s="50">
        <f t="shared" si="50"/>
        <v>105.2</v>
      </c>
      <c r="P232" s="50">
        <f t="shared" si="50"/>
        <v>70.91869398207425</v>
      </c>
      <c r="Q232" s="50">
        <f t="shared" si="50"/>
        <v>71.07485604606525</v>
      </c>
      <c r="R232" s="50">
        <f t="shared" si="50"/>
        <v>105.86445012787726</v>
      </c>
      <c r="S232" s="50">
        <f t="shared" si="50"/>
        <v>106.16415335463259</v>
      </c>
      <c r="T232" s="20"/>
    </row>
    <row r="233" spans="3:20" ht="37.5">
      <c r="C233" s="7" t="s">
        <v>187</v>
      </c>
      <c r="D233" s="9" t="s">
        <v>98</v>
      </c>
      <c r="E233" s="58">
        <v>101.5</v>
      </c>
      <c r="F233" s="64">
        <v>93.4</v>
      </c>
      <c r="G233" s="64">
        <v>106.7</v>
      </c>
      <c r="H233" s="64">
        <v>100.3</v>
      </c>
      <c r="I233" s="64">
        <v>100.6</v>
      </c>
      <c r="J233" s="64">
        <v>101</v>
      </c>
      <c r="K233" s="64">
        <v>101.4</v>
      </c>
      <c r="L233" s="64">
        <v>100.7</v>
      </c>
      <c r="M233" s="64">
        <v>101.1</v>
      </c>
      <c r="N233" s="64">
        <v>101.1</v>
      </c>
      <c r="O233" s="64">
        <v>101.3</v>
      </c>
      <c r="P233" s="64">
        <v>101.4</v>
      </c>
      <c r="Q233" s="64">
        <v>101.9</v>
      </c>
      <c r="R233" s="64">
        <v>101.8</v>
      </c>
      <c r="S233" s="64">
        <v>102.3</v>
      </c>
      <c r="T233" s="20"/>
    </row>
    <row r="234" spans="3:20" ht="18.75">
      <c r="C234" s="3" t="s">
        <v>209</v>
      </c>
      <c r="D234" s="4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8"/>
      <c r="R234" s="18"/>
      <c r="S234" s="19"/>
      <c r="T234" s="20"/>
    </row>
    <row r="235" spans="3:20" ht="39.75" customHeight="1">
      <c r="C235" s="10" t="s">
        <v>82</v>
      </c>
      <c r="D235" s="4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8"/>
      <c r="R235" s="18"/>
      <c r="S235" s="19"/>
      <c r="T235" s="20"/>
    </row>
    <row r="236" spans="3:20" ht="18.75">
      <c r="C236" s="7" t="s">
        <v>83</v>
      </c>
      <c r="D236" s="8" t="s">
        <v>34</v>
      </c>
      <c r="E236" s="69">
        <v>0.29</v>
      </c>
      <c r="F236" s="70">
        <f>F237+F238</f>
        <v>0.29200000000000004</v>
      </c>
      <c r="G236" s="70">
        <f>G237+G238</f>
        <v>0.29400000000000004</v>
      </c>
      <c r="H236" s="70">
        <f>H237+H238</f>
        <v>0.29800000000000004</v>
      </c>
      <c r="I236" s="70">
        <f aca="true" t="shared" si="51" ref="I236:S236">I237+I238</f>
        <v>0.30200000000000005</v>
      </c>
      <c r="J236" s="70">
        <f t="shared" si="51"/>
        <v>0.30100000000000005</v>
      </c>
      <c r="K236" s="70">
        <f t="shared" si="51"/>
        <v>0.30500000000000005</v>
      </c>
      <c r="L236" s="70">
        <f t="shared" si="51"/>
        <v>0.30400000000000005</v>
      </c>
      <c r="M236" s="70">
        <f t="shared" si="51"/>
        <v>0.309</v>
      </c>
      <c r="N236" s="70">
        <f t="shared" si="51"/>
        <v>0.312</v>
      </c>
      <c r="O236" s="70">
        <f t="shared" si="51"/>
        <v>0.31499999999999995</v>
      </c>
      <c r="P236" s="70">
        <f t="shared" si="51"/>
        <v>0.31599999999999995</v>
      </c>
      <c r="Q236" s="70">
        <f t="shared" si="51"/>
        <v>0.31899999999999995</v>
      </c>
      <c r="R236" s="70">
        <f t="shared" si="51"/>
        <v>0.31899999999999995</v>
      </c>
      <c r="S236" s="70">
        <f t="shared" si="51"/>
        <v>0.32499999999999996</v>
      </c>
      <c r="T236" s="20"/>
    </row>
    <row r="237" spans="3:20" ht="18.75">
      <c r="C237" s="7" t="s">
        <v>84</v>
      </c>
      <c r="D237" s="8" t="s">
        <v>34</v>
      </c>
      <c r="E237" s="69">
        <v>0.018</v>
      </c>
      <c r="F237" s="70">
        <v>0.019</v>
      </c>
      <c r="G237" s="70">
        <v>0.02</v>
      </c>
      <c r="H237" s="70">
        <v>0.022</v>
      </c>
      <c r="I237" s="70">
        <v>0.024</v>
      </c>
      <c r="J237" s="70">
        <v>0.024</v>
      </c>
      <c r="K237" s="70">
        <v>0.026</v>
      </c>
      <c r="L237" s="70">
        <v>0.025</v>
      </c>
      <c r="M237" s="70">
        <v>0.027</v>
      </c>
      <c r="N237" s="70">
        <v>0.029</v>
      </c>
      <c r="O237" s="70">
        <v>0.03</v>
      </c>
      <c r="P237" s="70">
        <v>0.031</v>
      </c>
      <c r="Q237" s="42">
        <v>0.032</v>
      </c>
      <c r="R237" s="42">
        <v>0.033</v>
      </c>
      <c r="S237" s="46">
        <v>0.035</v>
      </c>
      <c r="T237" s="20"/>
    </row>
    <row r="238" spans="3:20" ht="18.75">
      <c r="C238" s="7" t="s">
        <v>85</v>
      </c>
      <c r="D238" s="8" t="s">
        <v>34</v>
      </c>
      <c r="E238" s="69">
        <v>0.272</v>
      </c>
      <c r="F238" s="70">
        <v>0.273</v>
      </c>
      <c r="G238" s="70">
        <v>0.274</v>
      </c>
      <c r="H238" s="70">
        <v>0.276</v>
      </c>
      <c r="I238" s="70">
        <v>0.278</v>
      </c>
      <c r="J238" s="70">
        <v>0.277</v>
      </c>
      <c r="K238" s="70">
        <v>0.279</v>
      </c>
      <c r="L238" s="70">
        <v>0.279</v>
      </c>
      <c r="M238" s="70">
        <v>0.282</v>
      </c>
      <c r="N238" s="70">
        <v>0.283</v>
      </c>
      <c r="O238" s="70">
        <v>0.285</v>
      </c>
      <c r="P238" s="70">
        <v>0.285</v>
      </c>
      <c r="Q238" s="42">
        <v>0.287</v>
      </c>
      <c r="R238" s="42">
        <v>0.286</v>
      </c>
      <c r="S238" s="46">
        <v>0.29</v>
      </c>
      <c r="T238" s="20"/>
    </row>
    <row r="239" spans="3:20" ht="37.5">
      <c r="C239" s="10" t="s">
        <v>86</v>
      </c>
      <c r="D239" s="8"/>
      <c r="E239" s="69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1"/>
      <c r="R239" s="71"/>
      <c r="S239" s="72"/>
      <c r="T239" s="20"/>
    </row>
    <row r="240" spans="3:20" ht="18.75">
      <c r="C240" s="7" t="s">
        <v>83</v>
      </c>
      <c r="D240" s="8" t="s">
        <v>34</v>
      </c>
      <c r="E240" s="69">
        <v>0.383</v>
      </c>
      <c r="F240" s="70">
        <v>0.385</v>
      </c>
      <c r="G240" s="70">
        <f>G241+G242</f>
        <v>0.39</v>
      </c>
      <c r="H240" s="70">
        <f aca="true" t="shared" si="52" ref="H240:S240">H241+H242</f>
        <v>0.393</v>
      </c>
      <c r="I240" s="70">
        <f t="shared" si="52"/>
        <v>0.397</v>
      </c>
      <c r="J240" s="70">
        <f t="shared" si="52"/>
        <v>0.397</v>
      </c>
      <c r="K240" s="70">
        <f t="shared" si="52"/>
        <v>0.401</v>
      </c>
      <c r="L240" s="70">
        <f t="shared" si="52"/>
        <v>0.4</v>
      </c>
      <c r="M240" s="70">
        <f t="shared" si="52"/>
        <v>0.404</v>
      </c>
      <c r="N240" s="70">
        <f t="shared" si="52"/>
        <v>0.403</v>
      </c>
      <c r="O240" s="70">
        <f t="shared" si="52"/>
        <v>0.40800000000000003</v>
      </c>
      <c r="P240" s="70">
        <f t="shared" si="52"/>
        <v>0.40700000000000003</v>
      </c>
      <c r="Q240" s="70">
        <f t="shared" si="52"/>
        <v>0.41200000000000003</v>
      </c>
      <c r="R240" s="70">
        <f t="shared" si="52"/>
        <v>0.41000000000000003</v>
      </c>
      <c r="S240" s="70">
        <f t="shared" si="52"/>
        <v>0.416</v>
      </c>
      <c r="T240" s="93"/>
    </row>
    <row r="241" spans="3:20" ht="18.75">
      <c r="C241" s="7" t="s">
        <v>87</v>
      </c>
      <c r="D241" s="8" t="s">
        <v>34</v>
      </c>
      <c r="E241" s="69">
        <v>0.019</v>
      </c>
      <c r="F241" s="70">
        <v>0.02</v>
      </c>
      <c r="G241" s="70">
        <v>0.022</v>
      </c>
      <c r="H241" s="70">
        <v>0.024</v>
      </c>
      <c r="I241" s="70">
        <v>0.026</v>
      </c>
      <c r="J241" s="70">
        <v>0.027</v>
      </c>
      <c r="K241" s="70">
        <v>0.028</v>
      </c>
      <c r="L241" s="70">
        <v>0.029</v>
      </c>
      <c r="M241" s="70">
        <v>0.03</v>
      </c>
      <c r="N241" s="70">
        <v>0.03</v>
      </c>
      <c r="O241" s="70">
        <v>0.032</v>
      </c>
      <c r="P241" s="70">
        <v>0.032</v>
      </c>
      <c r="Q241" s="42">
        <v>0.034</v>
      </c>
      <c r="R241" s="42">
        <v>0.033</v>
      </c>
      <c r="S241" s="42">
        <v>0.036</v>
      </c>
      <c r="T241" s="93"/>
    </row>
    <row r="242" spans="3:19" ht="18.75">
      <c r="C242" s="7" t="s">
        <v>88</v>
      </c>
      <c r="D242" s="8" t="s">
        <v>34</v>
      </c>
      <c r="E242" s="69">
        <v>0.364</v>
      </c>
      <c r="F242" s="70">
        <v>0.365</v>
      </c>
      <c r="G242" s="70">
        <v>0.368</v>
      </c>
      <c r="H242" s="70">
        <v>0.369</v>
      </c>
      <c r="I242" s="70">
        <v>0.371</v>
      </c>
      <c r="J242" s="70">
        <v>0.37</v>
      </c>
      <c r="K242" s="70">
        <v>0.373</v>
      </c>
      <c r="L242" s="70">
        <v>0.371</v>
      </c>
      <c r="M242" s="70">
        <v>0.374</v>
      </c>
      <c r="N242" s="70">
        <v>0.373</v>
      </c>
      <c r="O242" s="70">
        <v>0.376</v>
      </c>
      <c r="P242" s="70">
        <v>0.375</v>
      </c>
      <c r="Q242" s="42">
        <v>0.378</v>
      </c>
      <c r="R242" s="42">
        <v>0.377</v>
      </c>
      <c r="S242" s="42">
        <v>0.38</v>
      </c>
    </row>
    <row r="243" spans="3:19" ht="42" customHeight="1">
      <c r="C243" s="6" t="s">
        <v>89</v>
      </c>
      <c r="D243" s="4" t="s">
        <v>34</v>
      </c>
      <c r="E243" s="73">
        <v>1.162</v>
      </c>
      <c r="F243" s="70">
        <v>1.163</v>
      </c>
      <c r="G243" s="70">
        <v>1.165</v>
      </c>
      <c r="H243" s="70">
        <v>1.166</v>
      </c>
      <c r="I243" s="70">
        <v>1.168</v>
      </c>
      <c r="J243" s="70">
        <v>1.17</v>
      </c>
      <c r="K243" s="70">
        <v>1.174</v>
      </c>
      <c r="L243" s="70">
        <v>1.173</v>
      </c>
      <c r="M243" s="70">
        <v>1.176</v>
      </c>
      <c r="N243" s="70">
        <v>1.175</v>
      </c>
      <c r="O243" s="70">
        <v>1.18</v>
      </c>
      <c r="P243" s="70">
        <v>1.177</v>
      </c>
      <c r="Q243" s="74">
        <v>1.182</v>
      </c>
      <c r="R243" s="74">
        <v>1.18</v>
      </c>
      <c r="S243" s="74">
        <v>1.185</v>
      </c>
    </row>
  </sheetData>
  <sheetProtection/>
  <mergeCells count="18">
    <mergeCell ref="D4:M4"/>
    <mergeCell ref="C5:S6"/>
    <mergeCell ref="N3:S4"/>
    <mergeCell ref="C2:P2"/>
    <mergeCell ref="C7:G7"/>
    <mergeCell ref="C9:C12"/>
    <mergeCell ref="D9:D12"/>
    <mergeCell ref="F10:F12"/>
    <mergeCell ref="J10:K10"/>
    <mergeCell ref="L10:M10"/>
    <mergeCell ref="N10:O10"/>
    <mergeCell ref="P10:Q10"/>
    <mergeCell ref="R10:S10"/>
    <mergeCell ref="H9:S9"/>
    <mergeCell ref="C229:C230"/>
    <mergeCell ref="G10:G12"/>
    <mergeCell ref="E10:E12"/>
    <mergeCell ref="H10:I10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Spec</cp:lastModifiedBy>
  <cp:lastPrinted>2019-03-13T09:00:33Z</cp:lastPrinted>
  <dcterms:created xsi:type="dcterms:W3CDTF">2013-05-25T16:45:04Z</dcterms:created>
  <dcterms:modified xsi:type="dcterms:W3CDTF">2019-10-16T10:01:15Z</dcterms:modified>
  <cp:category/>
  <cp:version/>
  <cp:contentType/>
  <cp:contentStatus/>
</cp:coreProperties>
</file>